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ADME" sheetId="1" state="visible" r:id="rId3"/>
    <sheet name="Capital Structure" sheetId="2" state="visible" r:id="rId4"/>
    <sheet name="Recovery Scenarios" sheetId="3" state="visible" r:id="rId5"/>
    <sheet name="Waterfall" sheetId="4" state="visible" r:id="rId6"/>
    <sheet name="Comparison" sheetId="5" state="visible" r:id="rId7"/>
    <sheet name="Sensitivity" sheetId="6" state="visible" r:id="rId8"/>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<sst xmlns="http://schemas.openxmlformats.org/spreadsheetml/2006/main" count="158" uniqueCount="119">
  <si>
    <t xml:space="preserve">Bankruptcy Waterfall Toolkit · Module 08</t>
  </si>
  <si>
    <t xml:space="preserve">Globefin Corporate Finance · How recovery distributes across claim classes when a firm fails</t>
  </si>
  <si>
    <t xml:space="preserve">How this model works</t>
  </si>
  <si>
    <t xml:space="preserve">This toolkit shows how a firm's enterprise value distributes across claim classes when it cannot satisfy all obligations. The 'absolute priority rule' (APR) governs the order: senior secured creditors first, then senior unsecured, then subordinated, then preferred equity, then common equity. Each class is fully paid before the next class receives anything.</t>
  </si>
  <si>
    <t xml:space="preserve">Step 1 · Set the capital structure</t>
  </si>
  <si>
    <t xml:space="preserve">The Capital Structure tab defines the firm's claim classes: senior secured debt, senior unsecured debt, subordinated debt, preferred equity, common equity. Edit the yellow input cells with face values and (for unsecured/sub) priority rankings.</t>
  </si>
  <si>
    <t xml:space="preserve">Step 2 · Set the going-concern enterprise value</t>
  </si>
  <si>
    <t xml:space="preserve">The Recovery Scenarios tab takes an enterprise value as input — typically from a DCF (Module 07) under stress or a liquidation appraisal. Three scenarios are pre-built: going-concern (firm survives), reorganization (Chapter-11-style restructuring with friction costs), and liquidation (Chapter-7-style asset sale at distressed prices).</t>
  </si>
  <si>
    <t xml:space="preserve">Step 3 · Read the waterfall</t>
  </si>
  <si>
    <t xml:space="preserve">The Waterfall tab walks down the priority ladder: at each level, available value is allocated until the class is paid in full or value is exhausted. Recovery percentages tell you which classes get full recovery (100%), partial recovery (1-99%), or zero recovery (0%, 'wiped out').</t>
  </si>
  <si>
    <t xml:space="preserve">Step 4 · Compare scenarios</t>
  </si>
  <si>
    <t xml:space="preserve">The Comparison tab puts all three scenarios side-by-side, showing recovery percentages by claim class. This is the key managerial insight: how the choice between liquidation, reorganization, and out-of-court restructuring affects each stakeholder.</t>
  </si>
  <si>
    <t xml:space="preserve">Step 5 · Test sensitivity</t>
  </si>
  <si>
    <t xml:space="preserve">The Sensitivity tab varies the going-concern enterprise value across a range and shows recovery percentages for each claim class. This is how distressed-debt investors think: 'at what EV does my class get fully paid? At what EV does it get wiped out?'</t>
  </si>
  <si>
    <t xml:space="preserve">Click any black-text cell to see the formula. Cross-sheet references appear in green. Editable inputs are blue text on light-yellow fill.</t>
  </si>
  <si>
    <t xml:space="preserve">Color &amp; format key</t>
  </si>
  <si>
    <t xml:space="preserve">Blue on yellow</t>
  </si>
  <si>
    <t xml:space="preserve">Input cells — replace with your data</t>
  </si>
  <si>
    <t xml:space="preserve">Black</t>
  </si>
  <si>
    <t xml:space="preserve">Formula or calculated value — do not edit</t>
  </si>
  <si>
    <t xml:space="preserve">Green</t>
  </si>
  <si>
    <t xml:space="preserve">Cross-sheet reference (pulled from another tab)</t>
  </si>
  <si>
    <t xml:space="preserve">White on navy</t>
  </si>
  <si>
    <t xml:space="preserve">Section header</t>
  </si>
  <si>
    <t xml:space="preserve">Bold black on gray</t>
  </si>
  <si>
    <t xml:space="preserve">Subtotal row</t>
  </si>
  <si>
    <t xml:space="preserve">Light red</t>
  </si>
  <si>
    <t xml:space="preserve">Class wiped out (0% recovery)</t>
  </si>
  <si>
    <t xml:space="preserve">Light green</t>
  </si>
  <si>
    <t xml:space="preserve">Class fully paid (100% recovery)</t>
  </si>
  <si>
    <t xml:space="preserve">Cream</t>
  </si>
  <si>
    <t xml:space="preserve">Partial recovery (between 0% and 100%)</t>
  </si>
  <si>
    <t xml:space="preserve">Caveats and limitations</t>
  </si>
  <si>
    <t xml:space="preserve">• This is a stylized model. Real bankruptcy proceedings include intercreditor agreements, contractual subordination, structural subordination, lien priority disputes, debtor-in-possession financing, equitable subordination, fraudulent conveyance challenges, and many other complexities not captured here. Use this as a teaching framework, not a real-world legal analysis.</t>
  </si>
  <si>
    <t xml:space="preserve">• The 'reorganization friction' parameter is a simplifying assumption. Real Chapter 11 cases impose costs through legal fees (often 3-5% of EV), management distraction, customer/supplier flight, and the time-value of capital tied up in proceedings (cases routinely take 12-24 months). The single-percentage haircut here approximates these effects.</t>
  </si>
  <si>
    <t xml:space="preserve">• Liquidation recovery factors vary by asset type. Inventory typically recovers 30-60% of book value; PP&amp;E 20-40%; intangibles 0-20%; receivables 70-90%. The single 'liquidation discount' input here applies a uniform haircut for simplicity. A real liquidation analysis would value each asset class separately.</t>
  </si>
  <si>
    <t xml:space="preserve">• The model assumes the absolute priority rule (APR) holds strictly. In practice, especially in Chapter 11 reorganizations, equity holders often receive small recoveries even when senior creditors are not paid in full ('APR violations'). This typically reflects negotiation leverage rather than legal entitlement.</t>
  </si>
  <si>
    <t xml:space="preserve">• Country variation is substantial. The waterfall logic is similar across jurisdictions, but priority rankings differ — some countries put employee wages, tax claims, or supplier claims ahead of senior secured debt. The Module 08 lesson covers six major regimes; the toolkit uses US-style priority as a default.</t>
  </si>
  <si>
    <t xml:space="preserve">Capital Structure · Sample Company ($M)</t>
  </si>
  <si>
    <t xml:space="preserve">Claim Class</t>
  </si>
  <si>
    <t xml:space="preserve">Face Value ($M)</t>
  </si>
  <si>
    <t xml:space="preserve">Priority</t>
  </si>
  <si>
    <t xml:space="preserve">% of Total</t>
  </si>
  <si>
    <t xml:space="preserve">Notes</t>
  </si>
  <si>
    <t xml:space="preserve">Senior Secured Debt</t>
  </si>
  <si>
    <t xml:space="preserve">Backed by collateral; first claim on proceeds</t>
  </si>
  <si>
    <t xml:space="preserve">Senior Unsecured Debt</t>
  </si>
  <si>
    <t xml:space="preserve">Bonds, term loans without security</t>
  </si>
  <si>
    <t xml:space="preserve">Subordinated Debt</t>
  </si>
  <si>
    <t xml:space="preserve">Junior bonds; ranks behind senior unsecured</t>
  </si>
  <si>
    <t xml:space="preserve">Preferred Equity</t>
  </si>
  <si>
    <t xml:space="preserve">Senior to common but junior to all debt</t>
  </si>
  <si>
    <t xml:space="preserve">Common Equity</t>
  </si>
  <si>
    <t xml:space="preserve">Last in line; book value equity</t>
  </si>
  <si>
    <t xml:space="preserve">TOTAL CAPITAL</t>
  </si>
  <si>
    <t xml:space="preserve">100% of capital</t>
  </si>
  <si>
    <t xml:space="preserve">Sum across all claim classes</t>
  </si>
  <si>
    <t xml:space="preserve">  ABOUT THIS CAPITAL STRUCTURE</t>
  </si>
  <si>
    <t xml:space="preserve">• Sample Company defaults represent a firm in genuine distress: $300M senior secured (asset-backed term loan), $300M senior unsecured (notes/bonds), $150M subordinated (junior bond), $50M preferred equity, $400M common equity book value. Total capital: $1,200M. Total debt: $750M.</t>
  </si>
  <si>
    <t xml:space="preserve">• Priority numbers (1=highest, 5=lowest) drive the waterfall. The model assumes strict absolute priority — class N is fully paid before class N+1 receives anything. Real bankruptcies often deviate from APR through negotiation, especially in Chapter 11.</t>
  </si>
  <si>
    <t xml:space="preserve">• Edit the face values to model your own company. The model assumes face value equals the claim amount (no accrued interest, no discounts, no premium). For distressed debt where market value differs from face, the recovery percentages will refer to face — actual market-based returns will differ.</t>
  </si>
  <si>
    <t xml:space="preserve">Recovery Scenarios · Pool of Available Value ($M)</t>
  </si>
  <si>
    <t xml:space="preserve">  SCENARIO 1 · GOING CONCERN</t>
  </si>
  <si>
    <t xml:space="preserve">Going-concern enterprise value</t>
  </si>
  <si>
    <t xml:space="preserve">From distressed DCF; firm survives</t>
  </si>
  <si>
    <t xml:space="preserve">+ Cash on balance sheet</t>
  </si>
  <si>
    <t xml:space="preserve">Available value for distribution</t>
  </si>
  <si>
    <t xml:space="preserve">EV + cash (no costs)</t>
  </si>
  <si>
    <t xml:space="preserve">  SCENARIO 2 · REORGANIZATION (CHAPTER 11)</t>
  </si>
  <si>
    <t xml:space="preserve">Same EV as scenario 1</t>
  </si>
  <si>
    <t xml:space="preserve">Reorganization friction (haircut)</t>
  </si>
  <si>
    <t xml:space="preserve">Legal fees, distraction, customer loss</t>
  </si>
  <si>
    <t xml:space="preserve">Net EV after reorganization friction</t>
  </si>
  <si>
    <t xml:space="preserve">EV × (1 − friction%)</t>
  </si>
  <si>
    <t xml:space="preserve">Net EV + cash</t>
  </si>
  <si>
    <t xml:space="preserve">  SCENARIO 3 · LIQUIDATION (CHAPTER 7)</t>
  </si>
  <si>
    <t xml:space="preserve">Book value of net assets</t>
  </si>
  <si>
    <t xml:space="preserve">Total assets minus operating liabilities</t>
  </si>
  <si>
    <t xml:space="preserve">Liquidation discount</t>
  </si>
  <si>
    <t xml:space="preserve">Forced-sale haircut on book value</t>
  </si>
  <si>
    <t xml:space="preserve">Net liquidation proceeds</t>
  </si>
  <si>
    <t xml:space="preserve">Book × (1 − discount%)</t>
  </si>
  <si>
    <t xml:space="preserve">− Trustee/admin fees</t>
  </si>
  <si>
    <t xml:space="preserve">Wind-down costs (lawyers, trustee)</t>
  </si>
  <si>
    <t xml:space="preserve">Liquidation proceeds + cash − fees</t>
  </si>
  <si>
    <t xml:space="preserve">Recovery Waterfall · Going-Concern Scenario ($M)</t>
  </si>
  <si>
    <t xml:space="preserve">Face Value</t>
  </si>
  <si>
    <t xml:space="preserve">Available</t>
  </si>
  <si>
    <t xml:space="preserve">Recovery</t>
  </si>
  <si>
    <t xml:space="preserve">Recovery %</t>
  </si>
  <si>
    <t xml:space="preserve">Status</t>
  </si>
  <si>
    <t xml:space="preserve">Logic</t>
  </si>
  <si>
    <t xml:space="preserve">Available pool (going-concern)</t>
  </si>
  <si>
    <t xml:space="preserve">—</t>
  </si>
  <si>
    <t xml:space="preserve">Top of waterfall</t>
  </si>
  <si>
    <t xml:space="preserve">Highest priority; collateral-backed</t>
  </si>
  <si>
    <t xml:space="preserve">Second priority; bonds, term loans</t>
  </si>
  <si>
    <t xml:space="preserve">Third priority; junior bonds</t>
  </si>
  <si>
    <t xml:space="preserve">Fourth priority; equity but senior to common</t>
  </si>
  <si>
    <t xml:space="preserve">Last in line; residual claim</t>
  </si>
  <si>
    <t xml:space="preserve">Walk down the priority ladder: at each level, available value is allocated until the class is paid in full. Any value remaining flows to the next class. Once value is exhausted, all junior classes are wiped out.</t>
  </si>
  <si>
    <t xml:space="preserve">  VERIFICATION</t>
  </si>
  <si>
    <t xml:space="preserve">Sum of recoveries</t>
  </si>
  <si>
    <t xml:space="preserve">Should equal pool (if face ≥ pool)</t>
  </si>
  <si>
    <t xml:space="preserve">Available pool</t>
  </si>
  <si>
    <t xml:space="preserve">From Recovery Scenarios tab</t>
  </si>
  <si>
    <t xml:space="preserve">Recovery Comparison Across Scenarios</t>
  </si>
  <si>
    <t xml:space="preserve">Going Concern</t>
  </si>
  <si>
    <t xml:space="preserve">Reorganization (Ch 11)</t>
  </si>
  <si>
    <t xml:space="preserve">Liquidation (Ch 7)</t>
  </si>
  <si>
    <t xml:space="preserve">%</t>
  </si>
  <si>
    <t xml:space="preserve">Read row by row: a class with 'Full' recovery in all three scenarios is essentially safe; a class with 'Full' in going-concern but 'Wiped' in liquidation is heavily exposed to operational continuity; a class 'Wiped' in all three scenarios was already underwater. Reorganization usually preserves more value than liquidation because the going-concern premium (the value of the assembled business operating as a unit) is preserved.</t>
  </si>
  <si>
    <t xml:space="preserve">Recovery Sensitivity to Enterprise Value ($M)</t>
  </si>
  <si>
    <t xml:space="preserve">  RECOVERY % BY CLASS · VARYING ENTERPRISE VALUE</t>
  </si>
  <si>
    <t xml:space="preserve">Claim ↓ / EV →</t>
  </si>
  <si>
    <t xml:space="preserve">Pool</t>
  </si>
  <si>
    <t xml:space="preserve">Read this as: for the senior-secured debt to be fully paid (100%), pool must reach the face value of senior secured ($300M). For subordinated debt to be fully paid, pool must reach the cumulative face of all senior debt + sub debt ($750M). For common equity to receive anything, pool must exceed all senior claims plus preferred ($800M total). The 'Pool' column shows that cumulative threshold. The Pool already includes $50M of cash.</t>
  </si>
  <si>
    <t xml:space="preserve">  DISTRESSED-DEBT ANALYST'S VIEW</t>
  </si>
  <si>
    <t xml:space="preserve">A distressed-debt investor reads this table to answer: 'at what EV does my class get fully paid?' (the recovery threshold) and 'at what EV does my class get wiped out?' (the impairment threshold). The wider the gap between these two EVs, the more leveraged the recovery; the narrower the gap, the more binary. Senior secured at $300M face has a sharp transition: above $250M EV ($300M pool − $50M cash) it gets paid in full; below that it gets impaired one-for-one. Subordinated debt at $150M face requires the pool to exceed $600M to start receiving anything and $750M to be fully paid — a $150M EV range covers the full transition from 0% to 100%.</t>
  </si>
</sst>
</file>

<file path=xl/styles.xml><?xml version="1.0" encoding="utf-8"?>
<styleSheet xmlns="http://schemas.openxmlformats.org/spreadsheetml/2006/main">
  <numFmts count="5">
    <numFmt numFmtId="164" formatCode="General"/>
    <numFmt numFmtId="165" formatCode="_(\$* #,##0_);_(\$* \(#,##0\);_(\$* \-_);_(@_)"/>
    <numFmt numFmtId="166" formatCode="0"/>
    <numFmt numFmtId="167" formatCode="0.0%;\(0.0%\);\-"/>
    <numFmt numFmtId="168" formatCode="0%;\(0%\);\-"/>
  </numFmts>
  <fonts count="19">
    <font>
      <sz val="11"/>
      <color theme="1"/>
      <name val="Calibri"/>
      <family val="2"/>
      <charset val="1"/>
    </font>
    <font>
      <sz val="10"/>
      <name val="Arial"/>
      <family val="0"/>
    </font>
    <font>
      <sz val="10"/>
      <name val="Arial"/>
      <family val="0"/>
    </font>
    <font>
      <sz val="10"/>
      <name val="Arial"/>
      <family val="0"/>
    </font>
    <font>
      <b val="true"/>
      <sz val="18"/>
      <color rgb="FFFFFFFF"/>
      <name val="Arial"/>
      <family val="0"/>
      <charset val="1"/>
    </font>
    <font>
      <i val="true"/>
      <sz val="11"/>
      <color rgb="FFF8C10B"/>
      <name val="Arial"/>
      <family val="0"/>
      <charset val="1"/>
    </font>
    <font>
      <b val="true"/>
      <sz val="14"/>
      <color rgb="FF0B1020"/>
      <name val="Arial"/>
      <family val="0"/>
      <charset val="1"/>
    </font>
    <font>
      <sz val="10"/>
      <color rgb="FF000000"/>
      <name val="Arial"/>
      <family val="0"/>
      <charset val="1"/>
    </font>
    <font>
      <b val="true"/>
      <sz val="11"/>
      <color rgb="FF0B1020"/>
      <name val="Arial"/>
      <family val="0"/>
      <charset val="1"/>
    </font>
    <font>
      <sz val="10"/>
      <color rgb="FF0000FF"/>
      <name val="Arial"/>
      <family val="0"/>
      <charset val="1"/>
    </font>
    <font>
      <sz val="10"/>
      <color rgb="FF008000"/>
      <name val="Arial"/>
      <family val="0"/>
      <charset val="1"/>
    </font>
    <font>
      <b val="true"/>
      <sz val="11"/>
      <color rgb="FFFFFFFF"/>
      <name val="Arial"/>
      <family val="0"/>
      <charset val="1"/>
    </font>
    <font>
      <b val="true"/>
      <sz val="10"/>
      <color rgb="FF000000"/>
      <name val="Arial"/>
      <family val="0"/>
      <charset val="1"/>
    </font>
    <font>
      <b val="true"/>
      <sz val="10"/>
      <color rgb="FFC0392B"/>
      <name val="Arial"/>
      <family val="0"/>
      <charset val="1"/>
    </font>
    <font>
      <b val="true"/>
      <sz val="10"/>
      <color rgb="FF166534"/>
      <name val="Arial"/>
      <family val="0"/>
      <charset val="1"/>
    </font>
    <font>
      <b val="true"/>
      <sz val="10"/>
      <color rgb="FFFFFFFF"/>
      <name val="Arial"/>
      <family val="0"/>
      <charset val="1"/>
    </font>
    <font>
      <i val="true"/>
      <sz val="9"/>
      <color rgb="FF666666"/>
      <name val="Arial"/>
      <family val="0"/>
      <charset val="1"/>
    </font>
    <font>
      <b val="true"/>
      <sz val="11"/>
      <color rgb="FFF8C10B"/>
      <name val="Arial"/>
      <family val="0"/>
      <charset val="1"/>
    </font>
    <font>
      <i val="true"/>
      <sz val="10"/>
      <color rgb="FFFFFFFF"/>
      <name val="Arial"/>
      <family val="0"/>
      <charset val="1"/>
    </font>
  </fonts>
  <fills count="12">
    <fill>
      <patternFill patternType="none"/>
    </fill>
    <fill>
      <patternFill patternType="gray125"/>
    </fill>
    <fill>
      <patternFill patternType="solid">
        <fgColor rgb="FF0B1020"/>
        <bgColor rgb="FF000000"/>
      </patternFill>
    </fill>
    <fill>
      <patternFill patternType="solid">
        <fgColor rgb="FFFFFACD"/>
        <bgColor rgb="FFFFF8E1"/>
      </patternFill>
    </fill>
    <fill>
      <patternFill patternType="solid">
        <fgColor rgb="FFF7F9FC"/>
        <bgColor rgb="FFFFFFFF"/>
      </patternFill>
    </fill>
    <fill>
      <patternFill patternType="solid">
        <fgColor rgb="FFFCE8EA"/>
        <bgColor rgb="FFE6E8ED"/>
      </patternFill>
    </fill>
    <fill>
      <patternFill patternType="solid">
        <fgColor rgb="FFE2F5E2"/>
        <bgColor rgb="FFE6E8ED"/>
      </patternFill>
    </fill>
    <fill>
      <patternFill patternType="solid">
        <fgColor rgb="FFFFFBE9"/>
        <bgColor rgb="FFFFF8E1"/>
      </patternFill>
    </fill>
    <fill>
      <patternFill patternType="solid">
        <fgColor rgb="FFFFF8E1"/>
        <bgColor rgb="FFFFFBE9"/>
      </patternFill>
    </fill>
    <fill>
      <patternFill patternType="solid">
        <fgColor rgb="FF0070C0"/>
        <bgColor rgb="FF008080"/>
      </patternFill>
    </fill>
    <fill>
      <patternFill patternType="solid">
        <fgColor rgb="FFFF6B35"/>
        <bgColor rgb="FFFF8080"/>
      </patternFill>
    </fill>
    <fill>
      <patternFill patternType="solid">
        <fgColor rgb="FFC0392B"/>
        <bgColor rgb="FF993366"/>
      </patternFill>
    </fill>
  </fills>
  <borders count="3">
    <border diagonalUp="false" diagonalDown="false">
      <left/>
      <right/>
      <top/>
      <bottom/>
      <diagonal/>
    </border>
    <border diagonalUp="false" diagonalDown="false">
      <left style="thin">
        <color rgb="FFE6E8ED"/>
      </left>
      <right style="thin">
        <color rgb="FFE6E8ED"/>
      </right>
      <top style="thin">
        <color rgb="FFE6E8ED"/>
      </top>
      <bottom style="thin">
        <color rgb="FFE6E8ED"/>
      </bottom>
      <diagonal/>
    </border>
    <border diagonalUp="false" diagonalDown="false">
      <left style="thin">
        <color rgb="FFE6E8ED"/>
      </left>
      <right/>
      <top style="thin">
        <color rgb="FFE6E8ED"/>
      </top>
      <bottom style="thin">
        <color rgb="FFE6E8ED"/>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4" fontId="8" fillId="0" borderId="0" xfId="0" applyFont="true" applyBorder="false" applyAlignment="true" applyProtection="false">
      <alignment horizontal="left" vertical="top" textRotation="0" wrapText="true" indent="0" shrinkToFit="false"/>
      <protection locked="true" hidden="false"/>
    </xf>
    <xf numFmtId="164" fontId="9" fillId="3" borderId="1"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10" fillId="0" borderId="1" xfId="0" applyFont="true" applyBorder="true" applyAlignment="true" applyProtection="false">
      <alignment horizontal="center" vertical="center" textRotation="0" wrapText="false" indent="0" shrinkToFit="false"/>
      <protection locked="true" hidden="false"/>
    </xf>
    <xf numFmtId="164" fontId="11" fillId="2" borderId="1" xfId="0" applyFont="true" applyBorder="true" applyAlignment="true" applyProtection="false">
      <alignment horizontal="center" vertical="center" textRotation="0" wrapText="false" indent="0" shrinkToFit="false"/>
      <protection locked="true" hidden="false"/>
    </xf>
    <xf numFmtId="164" fontId="12" fillId="4" borderId="1" xfId="0" applyFont="true" applyBorder="true" applyAlignment="true" applyProtection="false">
      <alignment horizontal="center" vertical="center" textRotation="0" wrapText="false" indent="0" shrinkToFit="false"/>
      <protection locked="true" hidden="false"/>
    </xf>
    <xf numFmtId="164" fontId="13" fillId="5" borderId="1" xfId="0" applyFont="true" applyBorder="true" applyAlignment="true" applyProtection="false">
      <alignment horizontal="center" vertical="center" textRotation="0" wrapText="false" indent="0" shrinkToFit="false"/>
      <protection locked="true" hidden="false"/>
    </xf>
    <xf numFmtId="164" fontId="14" fillId="6" borderId="1" xfId="0" applyFont="true" applyBorder="true" applyAlignment="true" applyProtection="false">
      <alignment horizontal="center" vertical="center" textRotation="0" wrapText="false" indent="0" shrinkToFit="false"/>
      <protection locked="true" hidden="false"/>
    </xf>
    <xf numFmtId="164" fontId="12" fillId="7" borderId="1" xfId="0" applyFont="true" applyBorder="true" applyAlignment="true" applyProtection="false">
      <alignment horizontal="center" vertical="center" textRotation="0" wrapText="false" indent="0" shrinkToFit="false"/>
      <protection locked="true" hidden="false"/>
    </xf>
    <xf numFmtId="164" fontId="15" fillId="2" borderId="1" xfId="0" applyFont="true" applyBorder="true" applyAlignment="true" applyProtection="false">
      <alignment horizontal="left" vertical="center" textRotation="0" wrapText="false" indent="0" shrinkToFit="false"/>
      <protection locked="true" hidden="false"/>
    </xf>
    <xf numFmtId="164" fontId="15" fillId="2" borderId="1" xfId="0" applyFont="true" applyBorder="true" applyAlignment="true" applyProtection="false">
      <alignment horizontal="right" vertical="center" textRotation="0" wrapText="false" indent="0" shrinkToFit="false"/>
      <protection locked="true" hidden="false"/>
    </xf>
    <xf numFmtId="164" fontId="15" fillId="2" borderId="1"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5" fontId="9" fillId="3" borderId="1" xfId="0" applyFont="true" applyBorder="true" applyAlignment="true" applyProtection="false">
      <alignment horizontal="right" vertical="center" textRotation="0" wrapText="false" indent="0" shrinkToFit="false"/>
      <protection locked="true" hidden="false"/>
    </xf>
    <xf numFmtId="166" fontId="7" fillId="0" borderId="1" xfId="0" applyFont="true" applyBorder="true" applyAlignment="true" applyProtection="false">
      <alignment horizontal="center" vertical="center" textRotation="0" wrapText="false" indent="0" shrinkToFit="false"/>
      <protection locked="true" hidden="false"/>
    </xf>
    <xf numFmtId="167" fontId="7" fillId="0" borderId="1" xfId="0" applyFont="true" applyBorder="true" applyAlignment="true" applyProtection="false">
      <alignment horizontal="righ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1" fillId="2" borderId="0" xfId="0" applyFont="true" applyBorder="false" applyAlignment="true" applyProtection="false">
      <alignment horizontal="left" vertical="center" textRotation="0" wrapText="false" indent="0" shrinkToFit="false"/>
      <protection locked="true" hidden="false"/>
    </xf>
    <xf numFmtId="165" fontId="17" fillId="2" borderId="1" xfId="0" applyFont="true" applyBorder="true" applyAlignment="true" applyProtection="false">
      <alignment horizontal="right" vertical="center" textRotation="0" wrapText="false" indent="0" shrinkToFit="false"/>
      <protection locked="true" hidden="false"/>
    </xf>
    <xf numFmtId="164" fontId="18" fillId="2" borderId="0" xfId="0" applyFont="true" applyBorder="true" applyAlignment="true" applyProtection="false">
      <alignment horizontal="center" vertical="center" textRotation="0" wrapText="false" indent="0" shrinkToFit="false"/>
      <protection locked="true" hidden="false"/>
    </xf>
    <xf numFmtId="164" fontId="11" fillId="2" borderId="0" xfId="0" applyFont="true" applyBorder="tru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top" textRotation="0" wrapText="true" indent="0" shrinkToFit="false"/>
      <protection locked="true" hidden="false"/>
    </xf>
    <xf numFmtId="165" fontId="10" fillId="0" borderId="1" xfId="0" applyFont="true" applyBorder="true" applyAlignment="true" applyProtection="false">
      <alignment horizontal="right" vertical="center" textRotation="0" wrapText="false" indent="0" shrinkToFit="false"/>
      <protection locked="true" hidden="false"/>
    </xf>
    <xf numFmtId="167" fontId="9" fillId="3" borderId="1" xfId="0" applyFont="true" applyBorder="true" applyAlignment="true" applyProtection="false">
      <alignment horizontal="right" vertical="center" textRotation="0" wrapText="false" indent="0" shrinkToFit="false"/>
      <protection locked="true" hidden="false"/>
    </xf>
    <xf numFmtId="164" fontId="12" fillId="4" borderId="0" xfId="0" applyFont="true" applyBorder="false" applyAlignment="true" applyProtection="false">
      <alignment horizontal="left" vertical="center" textRotation="0" wrapText="false" indent="0" shrinkToFit="false"/>
      <protection locked="true" hidden="false"/>
    </xf>
    <xf numFmtId="165" fontId="12" fillId="4" borderId="1" xfId="0" applyFont="true" applyBorder="true" applyAlignment="true" applyProtection="false">
      <alignment horizontal="right" vertical="center" textRotation="0" wrapText="false" indent="0" shrinkToFit="false"/>
      <protection locked="true" hidden="false"/>
    </xf>
    <xf numFmtId="164" fontId="12" fillId="7" borderId="0" xfId="0" applyFont="true" applyBorder="false" applyAlignment="true" applyProtection="false">
      <alignment horizontal="left" vertical="center" textRotation="0" wrapText="false" indent="0" shrinkToFit="false"/>
      <protection locked="true" hidden="false"/>
    </xf>
    <xf numFmtId="164" fontId="16" fillId="7" borderId="1" xfId="0" applyFont="true" applyBorder="true" applyAlignment="true" applyProtection="false">
      <alignment horizontal="center" vertical="center" textRotation="0" wrapText="false" indent="0" shrinkToFit="false"/>
      <protection locked="true" hidden="false"/>
    </xf>
    <xf numFmtId="165" fontId="10" fillId="7" borderId="1" xfId="0" applyFont="true" applyBorder="true" applyAlignment="true" applyProtection="false">
      <alignment horizontal="right" vertical="center" textRotation="0" wrapText="false" indent="0" shrinkToFit="false"/>
      <protection locked="true" hidden="false"/>
    </xf>
    <xf numFmtId="164" fontId="16" fillId="7" borderId="0" xfId="0" applyFont="true" applyBorder="false" applyAlignment="true" applyProtection="false">
      <alignment horizontal="left" vertical="center" textRotation="0" wrapText="false" indent="0" shrinkToFit="false"/>
      <protection locked="true" hidden="false"/>
    </xf>
    <xf numFmtId="165" fontId="7" fillId="0" borderId="1" xfId="0" applyFont="true" applyBorder="true" applyAlignment="true" applyProtection="false">
      <alignment horizontal="right" vertical="center" textRotation="0" wrapText="false" indent="0" shrinkToFit="false"/>
      <protection locked="true" hidden="false"/>
    </xf>
    <xf numFmtId="165" fontId="12" fillId="0" borderId="1" xfId="0" applyFont="true" applyBorder="true" applyAlignment="true" applyProtection="false">
      <alignment horizontal="right" vertical="center" textRotation="0" wrapText="false" indent="0" shrinkToFit="false"/>
      <protection locked="true" hidden="false"/>
    </xf>
    <xf numFmtId="167" fontId="12" fillId="0" borderId="1" xfId="0" applyFont="true" applyBorder="true" applyAlignment="true" applyProtection="false">
      <alignment horizontal="right" vertical="center" textRotation="0" wrapText="false" indent="0" shrinkToFit="false"/>
      <protection locked="true" hidden="false"/>
    </xf>
    <xf numFmtId="164" fontId="16" fillId="8" borderId="0"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true" applyAlignment="true" applyProtection="false">
      <alignment horizontal="left" vertical="center" textRotation="0" wrapText="false" indent="0" shrinkToFit="false"/>
      <protection locked="true" hidden="false"/>
    </xf>
    <xf numFmtId="164" fontId="0" fillId="2" borderId="1" xfId="0" applyFont="false" applyBorder="true" applyAlignment="false" applyProtection="false">
      <alignment horizontal="general" vertical="bottom" textRotation="0" wrapText="false" indent="0" shrinkToFit="false"/>
      <protection locked="true" hidden="false"/>
    </xf>
    <xf numFmtId="164" fontId="15" fillId="9" borderId="2" xfId="0" applyFont="true" applyBorder="true" applyAlignment="true" applyProtection="false">
      <alignment horizontal="center" vertical="center" textRotation="0" wrapText="false" indent="0" shrinkToFit="false"/>
      <protection locked="true" hidden="false"/>
    </xf>
    <xf numFmtId="164" fontId="15" fillId="10" borderId="2" xfId="0" applyFont="true" applyBorder="true" applyAlignment="true" applyProtection="false">
      <alignment horizontal="center" vertical="center" textRotation="0" wrapText="false" indent="0" shrinkToFit="false"/>
      <protection locked="true" hidden="false"/>
    </xf>
    <xf numFmtId="164" fontId="15" fillId="11" borderId="2" xfId="0" applyFont="true" applyBorder="true" applyAlignment="true" applyProtection="false">
      <alignment horizontal="center" vertical="center" textRotation="0" wrapText="false" indent="0" shrinkToFit="false"/>
      <protection locked="true" hidden="false"/>
    </xf>
    <xf numFmtId="165" fontId="15" fillId="2" borderId="1" xfId="0" applyFont="true" applyBorder="true" applyAlignment="true" applyProtection="false">
      <alignment horizontal="right" vertical="center" textRotation="0" wrapText="false" indent="0" shrinkToFit="false"/>
      <protection locked="true" hidden="false"/>
    </xf>
    <xf numFmtId="164" fontId="12" fillId="4" borderId="1" xfId="0" applyFont="true" applyBorder="true" applyAlignment="true" applyProtection="false">
      <alignment horizontal="left" vertical="center" textRotation="0" wrapText="false" indent="0" shrinkToFit="false"/>
      <protection locked="true" hidden="false"/>
    </xf>
    <xf numFmtId="168" fontId="12" fillId="0" borderId="1" xfId="0" applyFont="true" applyBorder="true" applyAlignment="true" applyProtection="false">
      <alignment horizontal="righ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166534"/>
      <rgbColor rgb="FFC0C0C0"/>
      <rgbColor rgb="FF808080"/>
      <rgbColor rgb="FF9999FF"/>
      <rgbColor rgb="FF9C27B0"/>
      <rgbColor rgb="FFFFFACD"/>
      <rgbColor rgb="FFE6E8ED"/>
      <rgbColor rgb="FF660066"/>
      <rgbColor rgb="FFFF8080"/>
      <rgbColor rgb="FF0070C0"/>
      <rgbColor rgb="FFFFFBE9"/>
      <rgbColor rgb="FF000080"/>
      <rgbColor rgb="FFFF00FF"/>
      <rgbColor rgb="FFFFFF00"/>
      <rgbColor rgb="FF00FFFF"/>
      <rgbColor rgb="FF800080"/>
      <rgbColor rgb="FF800000"/>
      <rgbColor rgb="FF008080"/>
      <rgbColor rgb="FF0000FF"/>
      <rgbColor rgb="FF00CCFF"/>
      <rgbColor rgb="FFF7F9FC"/>
      <rgbColor rgb="FFE2F5E2"/>
      <rgbColor rgb="FFFFF8E1"/>
      <rgbColor rgb="FF99CCFF"/>
      <rgbColor rgb="FFFF99CC"/>
      <rgbColor rgb="FFCC99FF"/>
      <rgbColor rgb="FFFCE8EA"/>
      <rgbColor rgb="FF3366FF"/>
      <rgbColor rgb="FF33CCCC"/>
      <rgbColor rgb="FF99CC00"/>
      <rgbColor rgb="FFF8C10B"/>
      <rgbColor rgb="FFFF9900"/>
      <rgbColor rgb="FFFF6B35"/>
      <rgbColor rgb="FF666666"/>
      <rgbColor rgb="FF969696"/>
      <rgbColor rgb="FF003366"/>
      <rgbColor rgb="FF16A34A"/>
      <rgbColor rgb="FF0B1020"/>
      <rgbColor rgb="FF333300"/>
      <rgbColor rgb="FFC0392B"/>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4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95"/>
  </cols>
  <sheetData>
    <row r="1" customFormat="false" ht="19.5" hidden="false" customHeight="true" outlineLevel="0" collapsed="false">
      <c r="A1" s="1" t="s">
        <v>0</v>
      </c>
      <c r="B1" s="1"/>
    </row>
    <row r="2" customFormat="false" ht="19.5" hidden="false" customHeight="true" outlineLevel="0" collapsed="false">
      <c r="A2" s="1"/>
      <c r="B2" s="1"/>
    </row>
    <row r="3" customFormat="false" ht="18" hidden="false" customHeight="true" outlineLevel="0" collapsed="false">
      <c r="A3" s="2" t="s">
        <v>1</v>
      </c>
      <c r="B3" s="2"/>
    </row>
    <row r="4" customFormat="false" ht="7.5" hidden="false" customHeight="true" outlineLevel="0" collapsed="false"/>
    <row r="5" customFormat="false" ht="21.75" hidden="false" customHeight="true" outlineLevel="0" collapsed="false">
      <c r="B5" s="3" t="s">
        <v>2</v>
      </c>
    </row>
    <row r="6" customFormat="false" ht="63.75" hidden="false" customHeight="true" outlineLevel="0" collapsed="false">
      <c r="B6" s="4" t="s">
        <v>3</v>
      </c>
    </row>
    <row r="7" customFormat="false" ht="7.5" hidden="false" customHeight="true" outlineLevel="0" collapsed="false"/>
    <row r="8" customFormat="false" ht="21.75" hidden="false" customHeight="true" outlineLevel="0" collapsed="false">
      <c r="B8" s="5" t="s">
        <v>4</v>
      </c>
    </row>
    <row r="9" customFormat="false" ht="48" hidden="false" customHeight="true" outlineLevel="0" collapsed="false">
      <c r="B9" s="4" t="s">
        <v>5</v>
      </c>
    </row>
    <row r="10" customFormat="false" ht="7.5" hidden="false" customHeight="true" outlineLevel="0" collapsed="false"/>
    <row r="11" customFormat="false" ht="21.75" hidden="false" customHeight="true" outlineLevel="0" collapsed="false">
      <c r="B11" s="5" t="s">
        <v>6</v>
      </c>
    </row>
    <row r="12" customFormat="false" ht="63.75" hidden="false" customHeight="true" outlineLevel="0" collapsed="false">
      <c r="B12" s="4" t="s">
        <v>7</v>
      </c>
    </row>
    <row r="13" customFormat="false" ht="7.5" hidden="false" customHeight="true" outlineLevel="0" collapsed="false"/>
    <row r="14" customFormat="false" ht="21.75" hidden="false" customHeight="true" outlineLevel="0" collapsed="false">
      <c r="B14" s="5" t="s">
        <v>8</v>
      </c>
    </row>
    <row r="15" customFormat="false" ht="48" hidden="false" customHeight="true" outlineLevel="0" collapsed="false">
      <c r="B15" s="4" t="s">
        <v>9</v>
      </c>
    </row>
    <row r="16" customFormat="false" ht="7.5" hidden="false" customHeight="true" outlineLevel="0" collapsed="false"/>
    <row r="17" customFormat="false" ht="21.75" hidden="false" customHeight="true" outlineLevel="0" collapsed="false">
      <c r="B17" s="5" t="s">
        <v>10</v>
      </c>
    </row>
    <row r="18" customFormat="false" ht="48" hidden="false" customHeight="true" outlineLevel="0" collapsed="false">
      <c r="B18" s="4" t="s">
        <v>11</v>
      </c>
    </row>
    <row r="19" customFormat="false" ht="7.5" hidden="false" customHeight="true" outlineLevel="0" collapsed="false"/>
    <row r="20" customFormat="false" ht="21.75" hidden="false" customHeight="true" outlineLevel="0" collapsed="false">
      <c r="B20" s="5" t="s">
        <v>12</v>
      </c>
    </row>
    <row r="21" customFormat="false" ht="48" hidden="false" customHeight="true" outlineLevel="0" collapsed="false">
      <c r="B21" s="4" t="s">
        <v>13</v>
      </c>
    </row>
    <row r="22" customFormat="false" ht="7.5" hidden="false" customHeight="true" outlineLevel="0" collapsed="false"/>
    <row r="23" customFormat="false" ht="31.5" hidden="false" customHeight="true" outlineLevel="0" collapsed="false">
      <c r="B23" s="4" t="s">
        <v>14</v>
      </c>
    </row>
    <row r="24" customFormat="false" ht="7.5" hidden="false" customHeight="true" outlineLevel="0" collapsed="false"/>
    <row r="26" customFormat="false" ht="21.75" hidden="false" customHeight="true" outlineLevel="0" collapsed="false">
      <c r="B26" s="3" t="s">
        <v>15</v>
      </c>
    </row>
    <row r="27" customFormat="false" ht="19.5" hidden="false" customHeight="true" outlineLevel="0" collapsed="false">
      <c r="A27" s="6" t="s">
        <v>16</v>
      </c>
      <c r="B27" s="7" t="s">
        <v>17</v>
      </c>
    </row>
    <row r="28" customFormat="false" ht="19.5" hidden="false" customHeight="true" outlineLevel="0" collapsed="false">
      <c r="A28" s="8" t="s">
        <v>18</v>
      </c>
      <c r="B28" s="7" t="s">
        <v>19</v>
      </c>
    </row>
    <row r="29" customFormat="false" ht="19.5" hidden="false" customHeight="true" outlineLevel="0" collapsed="false">
      <c r="A29" s="9" t="s">
        <v>20</v>
      </c>
      <c r="B29" s="7" t="s">
        <v>21</v>
      </c>
    </row>
    <row r="30" customFormat="false" ht="19.5" hidden="false" customHeight="true" outlineLevel="0" collapsed="false">
      <c r="A30" s="10" t="s">
        <v>22</v>
      </c>
      <c r="B30" s="7" t="s">
        <v>23</v>
      </c>
    </row>
    <row r="31" customFormat="false" ht="19.5" hidden="false" customHeight="true" outlineLevel="0" collapsed="false">
      <c r="A31" s="11" t="s">
        <v>24</v>
      </c>
      <c r="B31" s="7" t="s">
        <v>25</v>
      </c>
    </row>
    <row r="32" customFormat="false" ht="19.5" hidden="false" customHeight="true" outlineLevel="0" collapsed="false">
      <c r="A32" s="12" t="s">
        <v>26</v>
      </c>
      <c r="B32" s="7" t="s">
        <v>27</v>
      </c>
    </row>
    <row r="33" customFormat="false" ht="19.5" hidden="false" customHeight="true" outlineLevel="0" collapsed="false">
      <c r="A33" s="13" t="s">
        <v>28</v>
      </c>
      <c r="B33" s="7" t="s">
        <v>29</v>
      </c>
    </row>
    <row r="34" customFormat="false" ht="19.5" hidden="false" customHeight="true" outlineLevel="0" collapsed="false">
      <c r="A34" s="14" t="s">
        <v>30</v>
      </c>
      <c r="B34" s="7" t="s">
        <v>31</v>
      </c>
    </row>
    <row r="37" customFormat="false" ht="21.75" hidden="false" customHeight="true" outlineLevel="0" collapsed="false">
      <c r="B37" s="3" t="s">
        <v>32</v>
      </c>
    </row>
    <row r="38" customFormat="false" ht="63.75" hidden="false" customHeight="true" outlineLevel="0" collapsed="false">
      <c r="B38" s="4" t="s">
        <v>33</v>
      </c>
    </row>
    <row r="39" customFormat="false" ht="63.75" hidden="false" customHeight="true" outlineLevel="0" collapsed="false">
      <c r="B39" s="4" t="s">
        <v>34</v>
      </c>
    </row>
    <row r="40" customFormat="false" ht="63.75" hidden="false" customHeight="true" outlineLevel="0" collapsed="false">
      <c r="B40" s="4" t="s">
        <v>35</v>
      </c>
    </row>
    <row r="41" customFormat="false" ht="63.75" hidden="false" customHeight="true" outlineLevel="0" collapsed="false">
      <c r="B41" s="4" t="s">
        <v>36</v>
      </c>
    </row>
    <row r="42" customFormat="false" ht="63.75" hidden="false" customHeight="true" outlineLevel="0" collapsed="false">
      <c r="B42" s="4" t="s">
        <v>37</v>
      </c>
    </row>
  </sheetData>
  <mergeCells count="2">
    <mergeCell ref="A1:B2"/>
    <mergeCell ref="A3:B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6A34A"/>
    <pageSetUpPr fitToPage="false"/>
  </sheetPr>
  <dimension ref="A1:E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6"/>
    <col collapsed="false" customWidth="true" hidden="false" outlineLevel="0" max="2" min="2" style="0" width="16"/>
    <col collapsed="false" customWidth="true" hidden="false" outlineLevel="0" max="4" min="3" style="0" width="12"/>
    <col collapsed="false" customWidth="true" hidden="false" outlineLevel="0" max="5" min="5" style="0" width="36"/>
  </cols>
  <sheetData>
    <row r="1" customFormat="false" ht="18" hidden="false" customHeight="true" outlineLevel="0" collapsed="false">
      <c r="A1" s="1" t="s">
        <v>38</v>
      </c>
      <c r="B1" s="1"/>
      <c r="C1" s="1"/>
      <c r="D1" s="1"/>
      <c r="E1" s="1"/>
    </row>
    <row r="2" customFormat="false" ht="18" hidden="false" customHeight="true" outlineLevel="0" collapsed="false">
      <c r="A2" s="1"/>
      <c r="B2" s="1"/>
      <c r="C2" s="1"/>
      <c r="D2" s="1"/>
      <c r="E2" s="1"/>
    </row>
    <row r="3" customFormat="false" ht="7.5" hidden="false" customHeight="true" outlineLevel="0" collapsed="false"/>
    <row r="4" customFormat="false" ht="21.75" hidden="false" customHeight="true" outlineLevel="0" collapsed="false">
      <c r="A4" s="15" t="s">
        <v>39</v>
      </c>
      <c r="B4" s="16" t="s">
        <v>40</v>
      </c>
      <c r="C4" s="17" t="s">
        <v>41</v>
      </c>
      <c r="D4" s="16" t="s">
        <v>42</v>
      </c>
      <c r="E4" s="15" t="s">
        <v>43</v>
      </c>
    </row>
    <row r="5" customFormat="false" ht="19.5" hidden="false" customHeight="true" outlineLevel="0" collapsed="false">
      <c r="A5" s="18" t="s">
        <v>44</v>
      </c>
      <c r="B5" s="19" t="n">
        <v>300</v>
      </c>
      <c r="C5" s="20" t="n">
        <v>1</v>
      </c>
      <c r="D5" s="21" t="n">
        <f aca="false">B5/B$10</f>
        <v>0.25</v>
      </c>
      <c r="E5" s="22" t="s">
        <v>45</v>
      </c>
    </row>
    <row r="6" customFormat="false" ht="19.5" hidden="false" customHeight="true" outlineLevel="0" collapsed="false">
      <c r="A6" s="18" t="s">
        <v>46</v>
      </c>
      <c r="B6" s="19" t="n">
        <v>300</v>
      </c>
      <c r="C6" s="20" t="n">
        <v>2</v>
      </c>
      <c r="D6" s="21" t="n">
        <f aca="false">B6/B$10</f>
        <v>0.25</v>
      </c>
      <c r="E6" s="22" t="s">
        <v>47</v>
      </c>
    </row>
    <row r="7" customFormat="false" ht="19.5" hidden="false" customHeight="true" outlineLevel="0" collapsed="false">
      <c r="A7" s="18" t="s">
        <v>48</v>
      </c>
      <c r="B7" s="19" t="n">
        <v>150</v>
      </c>
      <c r="C7" s="20" t="n">
        <v>3</v>
      </c>
      <c r="D7" s="21" t="n">
        <f aca="false">B7/B$10</f>
        <v>0.125</v>
      </c>
      <c r="E7" s="22" t="s">
        <v>49</v>
      </c>
    </row>
    <row r="8" customFormat="false" ht="19.5" hidden="false" customHeight="true" outlineLevel="0" collapsed="false">
      <c r="A8" s="18" t="s">
        <v>50</v>
      </c>
      <c r="B8" s="19" t="n">
        <v>50</v>
      </c>
      <c r="C8" s="20" t="n">
        <v>4</v>
      </c>
      <c r="D8" s="21" t="n">
        <f aca="false">B8/B$10</f>
        <v>0.0416666666666667</v>
      </c>
      <c r="E8" s="22" t="s">
        <v>51</v>
      </c>
    </row>
    <row r="9" customFormat="false" ht="19.5" hidden="false" customHeight="true" outlineLevel="0" collapsed="false">
      <c r="A9" s="18" t="s">
        <v>52</v>
      </c>
      <c r="B9" s="19" t="n">
        <v>400</v>
      </c>
      <c r="C9" s="20" t="n">
        <v>5</v>
      </c>
      <c r="D9" s="21" t="n">
        <f aca="false">B9/B$10</f>
        <v>0.333333333333333</v>
      </c>
      <c r="E9" s="22" t="s">
        <v>53</v>
      </c>
    </row>
    <row r="10" customFormat="false" ht="24" hidden="false" customHeight="true" outlineLevel="0" collapsed="false">
      <c r="A10" s="23" t="s">
        <v>54</v>
      </c>
      <c r="B10" s="24" t="n">
        <f aca="false">SUM(B5:B9)</f>
        <v>1200</v>
      </c>
      <c r="C10" s="25" t="s">
        <v>55</v>
      </c>
      <c r="D10" s="25"/>
      <c r="E10" s="22" t="s">
        <v>56</v>
      </c>
    </row>
    <row r="12" customFormat="false" ht="21.75" hidden="false" customHeight="true" outlineLevel="0" collapsed="false">
      <c r="A12" s="26" t="s">
        <v>57</v>
      </c>
      <c r="B12" s="26"/>
      <c r="C12" s="26"/>
      <c r="D12" s="26"/>
      <c r="E12" s="26"/>
    </row>
    <row r="13" customFormat="false" ht="48" hidden="false" customHeight="true" outlineLevel="0" collapsed="false">
      <c r="A13" s="27" t="s">
        <v>58</v>
      </c>
      <c r="B13" s="27"/>
      <c r="C13" s="27"/>
      <c r="D13" s="27"/>
      <c r="E13" s="27"/>
    </row>
    <row r="14" customFormat="false" ht="48" hidden="false" customHeight="true" outlineLevel="0" collapsed="false">
      <c r="A14" s="27" t="s">
        <v>59</v>
      </c>
      <c r="B14" s="27"/>
      <c r="C14" s="27"/>
      <c r="D14" s="27"/>
      <c r="E14" s="27"/>
    </row>
    <row r="15" customFormat="false" ht="48" hidden="false" customHeight="true" outlineLevel="0" collapsed="false">
      <c r="A15" s="27" t="s">
        <v>60</v>
      </c>
      <c r="B15" s="27"/>
      <c r="C15" s="27"/>
      <c r="D15" s="27"/>
      <c r="E15" s="27"/>
    </row>
  </sheetData>
  <mergeCells count="6">
    <mergeCell ref="A1:E2"/>
    <mergeCell ref="C10:D10"/>
    <mergeCell ref="A12:E12"/>
    <mergeCell ref="A13:E13"/>
    <mergeCell ref="A14:E14"/>
    <mergeCell ref="A15:E1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false"/>
  </sheetPr>
  <dimension ref="A1:C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6"/>
    <col collapsed="false" customWidth="true" hidden="false" outlineLevel="0" max="2" min="2" style="0" width="16"/>
    <col collapsed="false" customWidth="true" hidden="false" outlineLevel="0" max="3" min="3" style="0" width="36"/>
  </cols>
  <sheetData>
    <row r="1" customFormat="false" ht="18" hidden="false" customHeight="true" outlineLevel="0" collapsed="false">
      <c r="A1" s="1" t="s">
        <v>61</v>
      </c>
      <c r="B1" s="1"/>
      <c r="C1" s="1"/>
    </row>
    <row r="2" customFormat="false" ht="18" hidden="false" customHeight="true" outlineLevel="0" collapsed="false">
      <c r="A2" s="1"/>
      <c r="B2" s="1"/>
      <c r="C2" s="1"/>
    </row>
    <row r="3" customFormat="false" ht="7.5" hidden="false" customHeight="true" outlineLevel="0" collapsed="false"/>
    <row r="4" customFormat="false" ht="21.75" hidden="false" customHeight="true" outlineLevel="0" collapsed="false">
      <c r="A4" s="26" t="s">
        <v>62</v>
      </c>
      <c r="B4" s="26"/>
      <c r="C4" s="26"/>
    </row>
    <row r="5" customFormat="false" ht="18" hidden="false" customHeight="true" outlineLevel="0" collapsed="false">
      <c r="A5" s="18" t="s">
        <v>63</v>
      </c>
      <c r="B5" s="19" t="n">
        <v>700</v>
      </c>
      <c r="C5" s="22" t="s">
        <v>64</v>
      </c>
    </row>
    <row r="6" customFormat="false" ht="18" hidden="false" customHeight="true" outlineLevel="0" collapsed="false">
      <c r="A6" s="7" t="s">
        <v>65</v>
      </c>
      <c r="B6" s="19" t="n">
        <v>50</v>
      </c>
    </row>
    <row r="7" customFormat="false" ht="24" hidden="false" customHeight="true" outlineLevel="0" collapsed="false">
      <c r="A7" s="23" t="s">
        <v>66</v>
      </c>
      <c r="B7" s="24" t="n">
        <f aca="false">B5+B6</f>
        <v>750</v>
      </c>
      <c r="C7" s="22" t="s">
        <v>67</v>
      </c>
    </row>
    <row r="9" customFormat="false" ht="21.75" hidden="false" customHeight="true" outlineLevel="0" collapsed="false">
      <c r="A9" s="26" t="s">
        <v>68</v>
      </c>
      <c r="B9" s="26"/>
      <c r="C9" s="26"/>
    </row>
    <row r="10" customFormat="false" ht="18" hidden="false" customHeight="true" outlineLevel="0" collapsed="false">
      <c r="A10" s="7" t="s">
        <v>63</v>
      </c>
      <c r="B10" s="28" t="n">
        <f aca="false">B5</f>
        <v>700</v>
      </c>
      <c r="C10" s="22" t="s">
        <v>69</v>
      </c>
    </row>
    <row r="11" customFormat="false" ht="18" hidden="false" customHeight="true" outlineLevel="0" collapsed="false">
      <c r="A11" s="7" t="s">
        <v>70</v>
      </c>
      <c r="B11" s="29" t="n">
        <v>0.15</v>
      </c>
      <c r="C11" s="22" t="s">
        <v>71</v>
      </c>
    </row>
    <row r="12" customFormat="false" ht="18" hidden="false" customHeight="true" outlineLevel="0" collapsed="false">
      <c r="A12" s="30" t="s">
        <v>72</v>
      </c>
      <c r="B12" s="31" t="n">
        <f aca="false">B10*(1-B11)</f>
        <v>595</v>
      </c>
      <c r="C12" s="22" t="s">
        <v>73</v>
      </c>
    </row>
    <row r="13" customFormat="false" ht="18" hidden="false" customHeight="true" outlineLevel="0" collapsed="false">
      <c r="A13" s="7" t="s">
        <v>65</v>
      </c>
      <c r="B13" s="28" t="n">
        <f aca="false">B6</f>
        <v>50</v>
      </c>
    </row>
    <row r="14" customFormat="false" ht="24" hidden="false" customHeight="true" outlineLevel="0" collapsed="false">
      <c r="A14" s="23" t="s">
        <v>66</v>
      </c>
      <c r="B14" s="24" t="n">
        <f aca="false">B12+B13</f>
        <v>645</v>
      </c>
      <c r="C14" s="22" t="s">
        <v>74</v>
      </c>
    </row>
    <row r="16" customFormat="false" ht="21.75" hidden="false" customHeight="true" outlineLevel="0" collapsed="false">
      <c r="A16" s="26" t="s">
        <v>75</v>
      </c>
      <c r="B16" s="26"/>
      <c r="C16" s="26"/>
    </row>
    <row r="17" customFormat="false" ht="18" hidden="false" customHeight="true" outlineLevel="0" collapsed="false">
      <c r="A17" s="7" t="s">
        <v>76</v>
      </c>
      <c r="B17" s="19" t="n">
        <v>750</v>
      </c>
      <c r="C17" s="22" t="s">
        <v>77</v>
      </c>
    </row>
    <row r="18" customFormat="false" ht="18" hidden="false" customHeight="true" outlineLevel="0" collapsed="false">
      <c r="A18" s="7" t="s">
        <v>78</v>
      </c>
      <c r="B18" s="29" t="n">
        <v>0.4</v>
      </c>
      <c r="C18" s="22" t="s">
        <v>79</v>
      </c>
    </row>
    <row r="19" customFormat="false" ht="18" hidden="false" customHeight="true" outlineLevel="0" collapsed="false">
      <c r="A19" s="30" t="s">
        <v>80</v>
      </c>
      <c r="B19" s="31" t="n">
        <f aca="false">B17*(1-B18)</f>
        <v>450</v>
      </c>
      <c r="C19" s="22" t="s">
        <v>81</v>
      </c>
    </row>
    <row r="20" customFormat="false" ht="18" hidden="false" customHeight="true" outlineLevel="0" collapsed="false">
      <c r="A20" s="7" t="s">
        <v>65</v>
      </c>
      <c r="B20" s="28" t="n">
        <f aca="false">B6</f>
        <v>50</v>
      </c>
    </row>
    <row r="21" customFormat="false" ht="18" hidden="false" customHeight="true" outlineLevel="0" collapsed="false">
      <c r="A21" s="7" t="s">
        <v>82</v>
      </c>
      <c r="B21" s="19" t="n">
        <v>30</v>
      </c>
      <c r="C21" s="22" t="s">
        <v>83</v>
      </c>
    </row>
    <row r="22" customFormat="false" ht="24" hidden="false" customHeight="true" outlineLevel="0" collapsed="false">
      <c r="A22" s="23" t="s">
        <v>66</v>
      </c>
      <c r="B22" s="24" t="n">
        <f aca="false">B19+B20-B21</f>
        <v>470</v>
      </c>
      <c r="C22" s="22" t="s">
        <v>84</v>
      </c>
    </row>
  </sheetData>
  <mergeCells count="4">
    <mergeCell ref="A1:C2"/>
    <mergeCell ref="A4:C4"/>
    <mergeCell ref="A9:C9"/>
    <mergeCell ref="A16:C1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6B35"/>
    <pageSetUpPr fitToPage="false"/>
  </sheetPr>
  <dimension ref="A1:G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2"/>
    <col collapsed="false" customWidth="true" hidden="false" outlineLevel="0" max="4" min="2" style="0" width="14"/>
    <col collapsed="false" customWidth="true" hidden="false" outlineLevel="0" max="6" min="5" style="0" width="12"/>
    <col collapsed="false" customWidth="true" hidden="false" outlineLevel="0" max="7" min="7" style="0" width="26"/>
  </cols>
  <sheetData>
    <row r="1" customFormat="false" ht="18" hidden="false" customHeight="true" outlineLevel="0" collapsed="false">
      <c r="A1" s="1" t="s">
        <v>85</v>
      </c>
      <c r="B1" s="1"/>
      <c r="C1" s="1"/>
      <c r="D1" s="1"/>
      <c r="E1" s="1"/>
      <c r="F1" s="1"/>
      <c r="G1" s="1"/>
    </row>
    <row r="2" customFormat="false" ht="18" hidden="false" customHeight="true" outlineLevel="0" collapsed="false">
      <c r="A2" s="1"/>
      <c r="B2" s="1"/>
      <c r="C2" s="1"/>
      <c r="D2" s="1"/>
      <c r="E2" s="1"/>
      <c r="F2" s="1"/>
      <c r="G2" s="1"/>
    </row>
    <row r="3" customFormat="false" ht="7.5" hidden="false" customHeight="true" outlineLevel="0" collapsed="false"/>
    <row r="4" customFormat="false" ht="21.75" hidden="false" customHeight="true" outlineLevel="0" collapsed="false">
      <c r="A4" s="15" t="s">
        <v>39</v>
      </c>
      <c r="B4" s="16" t="s">
        <v>86</v>
      </c>
      <c r="C4" s="16" t="s">
        <v>87</v>
      </c>
      <c r="D4" s="16" t="s">
        <v>88</v>
      </c>
      <c r="E4" s="16" t="s">
        <v>89</v>
      </c>
      <c r="F4" s="17" t="s">
        <v>90</v>
      </c>
      <c r="G4" s="15" t="s">
        <v>91</v>
      </c>
    </row>
    <row r="5" customFormat="false" ht="21.75" hidden="false" customHeight="true" outlineLevel="0" collapsed="false">
      <c r="A5" s="32" t="s">
        <v>92</v>
      </c>
      <c r="B5" s="33" t="s">
        <v>93</v>
      </c>
      <c r="C5" s="34" t="n">
        <f aca="false">'Recovery Scenarios'!$B$7</f>
        <v>750</v>
      </c>
      <c r="D5" s="33" t="s">
        <v>93</v>
      </c>
      <c r="E5" s="33" t="s">
        <v>93</v>
      </c>
      <c r="F5" s="33" t="s">
        <v>93</v>
      </c>
      <c r="G5" s="35" t="s">
        <v>94</v>
      </c>
    </row>
    <row r="6" customFormat="false" ht="21.75" hidden="false" customHeight="true" outlineLevel="0" collapsed="false">
      <c r="A6" s="18" t="s">
        <v>44</v>
      </c>
      <c r="B6" s="28" t="n">
        <f aca="false">'Capital Structure'!$B$5</f>
        <v>300</v>
      </c>
      <c r="C6" s="36" t="n">
        <f aca="false">C5</f>
        <v>750</v>
      </c>
      <c r="D6" s="37" t="n">
        <f aca="false">MIN(B6,C6)</f>
        <v>300</v>
      </c>
      <c r="E6" s="38" t="n">
        <f aca="false">IF(B6=0,0,D6/B6)</f>
        <v>1</v>
      </c>
      <c r="F6" s="8" t="str">
        <f aca="false">IF(E6&gt;=0.99,"Full",IF(E6&lt;=0.01,"Wiped","Partial"))</f>
        <v>Full</v>
      </c>
      <c r="G6" s="22" t="s">
        <v>95</v>
      </c>
    </row>
    <row r="7" customFormat="false" ht="21.75" hidden="false" customHeight="true" outlineLevel="0" collapsed="false">
      <c r="A7" s="18" t="s">
        <v>46</v>
      </c>
      <c r="B7" s="28" t="n">
        <f aca="false">'Capital Structure'!$B$6</f>
        <v>300</v>
      </c>
      <c r="C7" s="36" t="n">
        <f aca="false">MAX(0,C6-D6)</f>
        <v>450</v>
      </c>
      <c r="D7" s="37" t="n">
        <f aca="false">MIN(B7,C7)</f>
        <v>300</v>
      </c>
      <c r="E7" s="38" t="n">
        <f aca="false">IF(B7=0,0,D7/B7)</f>
        <v>1</v>
      </c>
      <c r="F7" s="8" t="str">
        <f aca="false">IF(E7&gt;=0.99,"Full",IF(E7&lt;=0.01,"Wiped","Partial"))</f>
        <v>Full</v>
      </c>
      <c r="G7" s="22" t="s">
        <v>96</v>
      </c>
    </row>
    <row r="8" customFormat="false" ht="21.75" hidden="false" customHeight="true" outlineLevel="0" collapsed="false">
      <c r="A8" s="18" t="s">
        <v>48</v>
      </c>
      <c r="B8" s="28" t="n">
        <f aca="false">'Capital Structure'!$B$7</f>
        <v>150</v>
      </c>
      <c r="C8" s="36" t="n">
        <f aca="false">MAX(0,C7-D7)</f>
        <v>150</v>
      </c>
      <c r="D8" s="37" t="n">
        <f aca="false">MIN(B8,C8)</f>
        <v>150</v>
      </c>
      <c r="E8" s="38" t="n">
        <f aca="false">IF(B8=0,0,D8/B8)</f>
        <v>1</v>
      </c>
      <c r="F8" s="8" t="str">
        <f aca="false">IF(E8&gt;=0.99,"Full",IF(E8&lt;=0.01,"Wiped","Partial"))</f>
        <v>Full</v>
      </c>
      <c r="G8" s="22" t="s">
        <v>97</v>
      </c>
    </row>
    <row r="9" customFormat="false" ht="21.75" hidden="false" customHeight="true" outlineLevel="0" collapsed="false">
      <c r="A9" s="18" t="s">
        <v>50</v>
      </c>
      <c r="B9" s="28" t="n">
        <f aca="false">'Capital Structure'!$B$8</f>
        <v>50</v>
      </c>
      <c r="C9" s="36" t="n">
        <f aca="false">MAX(0,C8-D8)</f>
        <v>0</v>
      </c>
      <c r="D9" s="37" t="n">
        <f aca="false">MIN(B9,C9)</f>
        <v>0</v>
      </c>
      <c r="E9" s="38" t="n">
        <f aca="false">IF(B9=0,0,D9/B9)</f>
        <v>0</v>
      </c>
      <c r="F9" s="8" t="str">
        <f aca="false">IF(E9&gt;=0.99,"Full",IF(E9&lt;=0.01,"Wiped","Partial"))</f>
        <v>Wiped</v>
      </c>
      <c r="G9" s="22" t="s">
        <v>98</v>
      </c>
    </row>
    <row r="10" customFormat="false" ht="21.75" hidden="false" customHeight="true" outlineLevel="0" collapsed="false">
      <c r="A10" s="18" t="s">
        <v>52</v>
      </c>
      <c r="B10" s="28" t="n">
        <f aca="false">'Capital Structure'!$B$9</f>
        <v>400</v>
      </c>
      <c r="C10" s="36" t="n">
        <f aca="false">MAX(0,C9-D9)</f>
        <v>0</v>
      </c>
      <c r="D10" s="37" t="n">
        <f aca="false">MIN(B10,C10)</f>
        <v>0</v>
      </c>
      <c r="E10" s="38" t="n">
        <f aca="false">IF(B10=0,0,D10/B10)</f>
        <v>0</v>
      </c>
      <c r="F10" s="8" t="str">
        <f aca="false">IF(E10&gt;=0.99,"Full",IF(E10&lt;=0.01,"Wiped","Partial"))</f>
        <v>Wiped</v>
      </c>
      <c r="G10" s="22" t="s">
        <v>99</v>
      </c>
    </row>
    <row r="12" customFormat="false" ht="36" hidden="false" customHeight="true" outlineLevel="0" collapsed="false">
      <c r="A12" s="39" t="s">
        <v>100</v>
      </c>
      <c r="B12" s="39"/>
      <c r="C12" s="39"/>
      <c r="D12" s="39"/>
      <c r="E12" s="39"/>
      <c r="F12" s="39"/>
      <c r="G12" s="39"/>
    </row>
    <row r="14" customFormat="false" ht="21.75" hidden="false" customHeight="true" outlineLevel="0" collapsed="false">
      <c r="A14" s="26" t="s">
        <v>101</v>
      </c>
      <c r="B14" s="26"/>
      <c r="C14" s="26"/>
      <c r="D14" s="26"/>
      <c r="E14" s="26"/>
      <c r="F14" s="26"/>
      <c r="G14" s="26"/>
    </row>
    <row r="15" customFormat="false" ht="18" hidden="false" customHeight="true" outlineLevel="0" collapsed="false">
      <c r="A15" s="7" t="s">
        <v>102</v>
      </c>
      <c r="B15" s="40" t="s">
        <v>93</v>
      </c>
      <c r="C15" s="40" t="s">
        <v>93</v>
      </c>
      <c r="D15" s="36" t="n">
        <f aca="false">SUM(D6:D10)</f>
        <v>750</v>
      </c>
      <c r="E15" s="40" t="s">
        <v>93</v>
      </c>
      <c r="F15" s="41" t="s">
        <v>103</v>
      </c>
      <c r="G15" s="41"/>
    </row>
    <row r="16" customFormat="false" ht="18" hidden="false" customHeight="true" outlineLevel="0" collapsed="false">
      <c r="A16" s="7" t="s">
        <v>104</v>
      </c>
      <c r="B16" s="40" t="s">
        <v>93</v>
      </c>
      <c r="C16" s="40" t="s">
        <v>93</v>
      </c>
      <c r="D16" s="36" t="n">
        <f aca="false">C5</f>
        <v>750</v>
      </c>
      <c r="E16" s="40" t="s">
        <v>93</v>
      </c>
      <c r="F16" s="41" t="s">
        <v>105</v>
      </c>
      <c r="G16" s="41"/>
    </row>
  </sheetData>
  <mergeCells count="5">
    <mergeCell ref="A1:G2"/>
    <mergeCell ref="A12:G12"/>
    <mergeCell ref="A14:G14"/>
    <mergeCell ref="F15:G15"/>
    <mergeCell ref="F16:G1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C27B0"/>
    <pageSetUpPr fitToPage="false"/>
  </sheetPr>
  <dimension ref="A1:J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8"/>
    <col collapsed="false" customWidth="true" hidden="false" outlineLevel="0" max="2" min="2" style="0" width="13"/>
    <col collapsed="false" customWidth="true" hidden="false" outlineLevel="0" max="4" min="3" style="0" width="12"/>
    <col collapsed="false" customWidth="true" hidden="false" outlineLevel="0" max="5" min="5" style="0" width="13"/>
    <col collapsed="false" customWidth="true" hidden="false" outlineLevel="0" max="7" min="6" style="0" width="12"/>
    <col collapsed="false" customWidth="true" hidden="false" outlineLevel="0" max="8" min="8" style="0" width="13"/>
    <col collapsed="false" customWidth="true" hidden="false" outlineLevel="0" max="10" min="9" style="0" width="12"/>
  </cols>
  <sheetData>
    <row r="1" customFormat="false" ht="18" hidden="false" customHeight="true" outlineLevel="0" collapsed="false">
      <c r="A1" s="1" t="s">
        <v>106</v>
      </c>
      <c r="B1" s="1"/>
      <c r="C1" s="1"/>
      <c r="D1" s="1"/>
      <c r="E1" s="1"/>
      <c r="F1" s="1"/>
      <c r="G1" s="1"/>
      <c r="H1" s="1"/>
      <c r="I1" s="1"/>
    </row>
    <row r="2" customFormat="false" ht="18" hidden="false" customHeight="true" outlineLevel="0" collapsed="false">
      <c r="A2" s="1"/>
      <c r="B2" s="1"/>
      <c r="C2" s="1"/>
      <c r="D2" s="1"/>
      <c r="E2" s="1"/>
      <c r="F2" s="1"/>
      <c r="G2" s="1"/>
      <c r="H2" s="1"/>
      <c r="I2" s="1"/>
    </row>
    <row r="3" customFormat="false" ht="7.5" hidden="false" customHeight="true" outlineLevel="0" collapsed="false"/>
    <row r="4" customFormat="false" ht="21.75" hidden="false" customHeight="true" outlineLevel="0" collapsed="false">
      <c r="A4" s="42"/>
      <c r="B4" s="43" t="s">
        <v>107</v>
      </c>
      <c r="C4" s="43"/>
      <c r="D4" s="43"/>
      <c r="E4" s="44" t="s">
        <v>108</v>
      </c>
      <c r="F4" s="44"/>
      <c r="G4" s="44"/>
      <c r="H4" s="45" t="s">
        <v>109</v>
      </c>
      <c r="I4" s="45"/>
      <c r="J4" s="45"/>
    </row>
    <row r="5" customFormat="false" ht="21.75" hidden="false" customHeight="true" outlineLevel="0" collapsed="false">
      <c r="A5" s="15" t="s">
        <v>39</v>
      </c>
      <c r="B5" s="16" t="s">
        <v>88</v>
      </c>
      <c r="C5" s="16" t="s">
        <v>110</v>
      </c>
      <c r="D5" s="17" t="s">
        <v>90</v>
      </c>
      <c r="E5" s="16" t="s">
        <v>88</v>
      </c>
      <c r="F5" s="16" t="s">
        <v>110</v>
      </c>
      <c r="G5" s="17" t="s">
        <v>90</v>
      </c>
      <c r="H5" s="16" t="s">
        <v>88</v>
      </c>
      <c r="I5" s="16" t="s">
        <v>110</v>
      </c>
      <c r="J5" s="17" t="s">
        <v>90</v>
      </c>
    </row>
    <row r="6" customFormat="false" ht="21.75" hidden="false" customHeight="true" outlineLevel="0" collapsed="false">
      <c r="A6" s="18" t="s">
        <v>44</v>
      </c>
      <c r="B6" s="36" t="n">
        <f aca="false">MIN('Capital Structure'!$B$5,MAX(0,'Recovery Scenarios'!$B$7))</f>
        <v>300</v>
      </c>
      <c r="C6" s="38" t="n">
        <f aca="false">IF('Capital Structure'!$B$5=0,0,B6/'Capital Structure'!$B$5)</f>
        <v>1</v>
      </c>
      <c r="D6" s="8" t="str">
        <f aca="false">IF(C6&gt;=0.99,"Full",IF(C6&lt;=0.01,"Wiped","Partial"))</f>
        <v>Full</v>
      </c>
      <c r="E6" s="36" t="n">
        <f aca="false">MIN('Capital Structure'!$B$5,MAX(0,'Recovery Scenarios'!$B$14))</f>
        <v>300</v>
      </c>
      <c r="F6" s="38" t="n">
        <f aca="false">IF('Capital Structure'!$B$5=0,0,E6/'Capital Structure'!$B$5)</f>
        <v>1</v>
      </c>
      <c r="G6" s="8" t="str">
        <f aca="false">IF(F6&gt;=0.99,"Full",IF(F6&lt;=0.01,"Wiped","Partial"))</f>
        <v>Full</v>
      </c>
      <c r="H6" s="36" t="n">
        <f aca="false">MIN('Capital Structure'!$B$5,MAX(0,'Recovery Scenarios'!$B$22))</f>
        <v>300</v>
      </c>
      <c r="I6" s="38" t="n">
        <f aca="false">IF('Capital Structure'!$B$5=0,0,H6/'Capital Structure'!$B$5)</f>
        <v>1</v>
      </c>
      <c r="J6" s="8" t="str">
        <f aca="false">IF(I6&gt;=0.99,"Full",IF(I6&lt;=0.01,"Wiped","Partial"))</f>
        <v>Full</v>
      </c>
    </row>
    <row r="7" customFormat="false" ht="21.75" hidden="false" customHeight="true" outlineLevel="0" collapsed="false">
      <c r="A7" s="18" t="s">
        <v>46</v>
      </c>
      <c r="B7" s="36" t="n">
        <f aca="false">MIN('Capital Structure'!$B$6,MAX(0,'Recovery Scenarios'!$B$7-('Capital Structure'!$B$5)))</f>
        <v>300</v>
      </c>
      <c r="C7" s="38" t="n">
        <f aca="false">IF('Capital Structure'!$B$6=0,0,B7/'Capital Structure'!$B$6)</f>
        <v>1</v>
      </c>
      <c r="D7" s="8" t="str">
        <f aca="false">IF(C7&gt;=0.99,"Full",IF(C7&lt;=0.01,"Wiped","Partial"))</f>
        <v>Full</v>
      </c>
      <c r="E7" s="36" t="n">
        <f aca="false">MIN('Capital Structure'!$B$6,MAX(0,'Recovery Scenarios'!$B$14-('Capital Structure'!$B$5)))</f>
        <v>300</v>
      </c>
      <c r="F7" s="38" t="n">
        <f aca="false">IF('Capital Structure'!$B$6=0,0,E7/'Capital Structure'!$B$6)</f>
        <v>1</v>
      </c>
      <c r="G7" s="8" t="str">
        <f aca="false">IF(F7&gt;=0.99,"Full",IF(F7&lt;=0.01,"Wiped","Partial"))</f>
        <v>Full</v>
      </c>
      <c r="H7" s="36" t="n">
        <f aca="false">MIN('Capital Structure'!$B$6,MAX(0,'Recovery Scenarios'!$B$22-('Capital Structure'!$B$5)))</f>
        <v>170</v>
      </c>
      <c r="I7" s="38" t="n">
        <f aca="false">IF('Capital Structure'!$B$6=0,0,H7/'Capital Structure'!$B$6)</f>
        <v>0.566666666666667</v>
      </c>
      <c r="J7" s="8" t="str">
        <f aca="false">IF(I7&gt;=0.99,"Full",IF(I7&lt;=0.01,"Wiped","Partial"))</f>
        <v>Partial</v>
      </c>
    </row>
    <row r="8" customFormat="false" ht="21.75" hidden="false" customHeight="true" outlineLevel="0" collapsed="false">
      <c r="A8" s="18" t="s">
        <v>48</v>
      </c>
      <c r="B8" s="36" t="n">
        <f aca="false">MIN('Capital Structure'!$B$7,MAX(0,'Recovery Scenarios'!$B$7-('Capital Structure'!$B$5+'Capital Structure'!$B$6)))</f>
        <v>150</v>
      </c>
      <c r="C8" s="38" t="n">
        <f aca="false">IF('Capital Structure'!$B$7=0,0,B8/'Capital Structure'!$B$7)</f>
        <v>1</v>
      </c>
      <c r="D8" s="8" t="str">
        <f aca="false">IF(C8&gt;=0.99,"Full",IF(C8&lt;=0.01,"Wiped","Partial"))</f>
        <v>Full</v>
      </c>
      <c r="E8" s="36" t="n">
        <f aca="false">MIN('Capital Structure'!$B$7,MAX(0,'Recovery Scenarios'!$B$14-('Capital Structure'!$B$5+'Capital Structure'!$B$6)))</f>
        <v>45</v>
      </c>
      <c r="F8" s="38" t="n">
        <f aca="false">IF('Capital Structure'!$B$7=0,0,E8/'Capital Structure'!$B$7)</f>
        <v>0.3</v>
      </c>
      <c r="G8" s="8" t="str">
        <f aca="false">IF(F8&gt;=0.99,"Full",IF(F8&lt;=0.01,"Wiped","Partial"))</f>
        <v>Partial</v>
      </c>
      <c r="H8" s="36" t="n">
        <f aca="false">MIN('Capital Structure'!$B$7,MAX(0,'Recovery Scenarios'!$B$22-('Capital Structure'!$B$5+'Capital Structure'!$B$6)))</f>
        <v>0</v>
      </c>
      <c r="I8" s="38" t="n">
        <f aca="false">IF('Capital Structure'!$B$7=0,0,H8/'Capital Structure'!$B$7)</f>
        <v>0</v>
      </c>
      <c r="J8" s="8" t="str">
        <f aca="false">IF(I8&gt;=0.99,"Full",IF(I8&lt;=0.01,"Wiped","Partial"))</f>
        <v>Wiped</v>
      </c>
    </row>
    <row r="9" customFormat="false" ht="21.75" hidden="false" customHeight="true" outlineLevel="0" collapsed="false">
      <c r="A9" s="18" t="s">
        <v>50</v>
      </c>
      <c r="B9" s="36" t="n">
        <f aca="false">MIN('Capital Structure'!$B$8,MAX(0,'Recovery Scenarios'!$B$7-('Capital Structure'!$B$5+'Capital Structure'!$B$6+'Capital Structure'!$B$7)))</f>
        <v>0</v>
      </c>
      <c r="C9" s="38" t="n">
        <f aca="false">IF('Capital Structure'!$B$8=0,0,B9/'Capital Structure'!$B$8)</f>
        <v>0</v>
      </c>
      <c r="D9" s="8" t="str">
        <f aca="false">IF(C9&gt;=0.99,"Full",IF(C9&lt;=0.01,"Wiped","Partial"))</f>
        <v>Wiped</v>
      </c>
      <c r="E9" s="36" t="n">
        <f aca="false">MIN('Capital Structure'!$B$8,MAX(0,'Recovery Scenarios'!$B$14-('Capital Structure'!$B$5+'Capital Structure'!$B$6+'Capital Structure'!$B$7)))</f>
        <v>0</v>
      </c>
      <c r="F9" s="38" t="n">
        <f aca="false">IF('Capital Structure'!$B$8=0,0,E9/'Capital Structure'!$B$8)</f>
        <v>0</v>
      </c>
      <c r="G9" s="8" t="str">
        <f aca="false">IF(F9&gt;=0.99,"Full",IF(F9&lt;=0.01,"Wiped","Partial"))</f>
        <v>Wiped</v>
      </c>
      <c r="H9" s="36" t="n">
        <f aca="false">MIN('Capital Structure'!$B$8,MAX(0,'Recovery Scenarios'!$B$22-('Capital Structure'!$B$5+'Capital Structure'!$B$6+'Capital Structure'!$B$7)))</f>
        <v>0</v>
      </c>
      <c r="I9" s="38" t="n">
        <f aca="false">IF('Capital Structure'!$B$8=0,0,H9/'Capital Structure'!$B$8)</f>
        <v>0</v>
      </c>
      <c r="J9" s="8" t="str">
        <f aca="false">IF(I9&gt;=0.99,"Full",IF(I9&lt;=0.01,"Wiped","Partial"))</f>
        <v>Wiped</v>
      </c>
    </row>
    <row r="10" customFormat="false" ht="21.75" hidden="false" customHeight="true" outlineLevel="0" collapsed="false">
      <c r="A10" s="18" t="s">
        <v>52</v>
      </c>
      <c r="B10" s="36" t="n">
        <f aca="false">MIN('Capital Structure'!$B$9,MAX(0,'Recovery Scenarios'!$B$7-('Capital Structure'!$B$5+'Capital Structure'!$B$6+'Capital Structure'!$B$7+'Capital Structure'!$B$8)))</f>
        <v>0</v>
      </c>
      <c r="C10" s="38" t="n">
        <f aca="false">IF('Capital Structure'!$B$9=0,0,B10/'Capital Structure'!$B$9)</f>
        <v>0</v>
      </c>
      <c r="D10" s="8" t="str">
        <f aca="false">IF(C10&gt;=0.99,"Full",IF(C10&lt;=0.01,"Wiped","Partial"))</f>
        <v>Wiped</v>
      </c>
      <c r="E10" s="36" t="n">
        <f aca="false">MIN('Capital Structure'!$B$9,MAX(0,'Recovery Scenarios'!$B$14-('Capital Structure'!$B$5+'Capital Structure'!$B$6+'Capital Structure'!$B$7+'Capital Structure'!$B$8)))</f>
        <v>0</v>
      </c>
      <c r="F10" s="38" t="n">
        <f aca="false">IF('Capital Structure'!$B$9=0,0,E10/'Capital Structure'!$B$9)</f>
        <v>0</v>
      </c>
      <c r="G10" s="8" t="str">
        <f aca="false">IF(F10&gt;=0.99,"Full",IF(F10&lt;=0.01,"Wiped","Partial"))</f>
        <v>Wiped</v>
      </c>
      <c r="H10" s="36" t="n">
        <f aca="false">MIN('Capital Structure'!$B$9,MAX(0,'Recovery Scenarios'!$B$22-('Capital Structure'!$B$5+'Capital Structure'!$B$6+'Capital Structure'!$B$7+'Capital Structure'!$B$8)))</f>
        <v>0</v>
      </c>
      <c r="I10" s="38" t="n">
        <f aca="false">IF('Capital Structure'!$B$9=0,0,H10/'Capital Structure'!$B$9)</f>
        <v>0</v>
      </c>
      <c r="J10" s="8" t="str">
        <f aca="false">IF(I10&gt;=0.99,"Full",IF(I10&lt;=0.01,"Wiped","Partial"))</f>
        <v>Wiped</v>
      </c>
    </row>
    <row r="12" customFormat="false" ht="60" hidden="false" customHeight="true" outlineLevel="0" collapsed="false">
      <c r="A12" s="39" t="s">
        <v>111</v>
      </c>
      <c r="B12" s="39"/>
      <c r="C12" s="39"/>
      <c r="D12" s="39"/>
      <c r="E12" s="39"/>
      <c r="F12" s="39"/>
      <c r="G12" s="39"/>
      <c r="H12" s="39"/>
      <c r="I12" s="39"/>
      <c r="J12" s="39"/>
    </row>
  </sheetData>
  <mergeCells count="5">
    <mergeCell ref="A1:I2"/>
    <mergeCell ref="B4:D4"/>
    <mergeCell ref="E4:G4"/>
    <mergeCell ref="H4:J4"/>
    <mergeCell ref="A12:J1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8C10B"/>
    <pageSetUpPr fitToPage="false"/>
  </sheetPr>
  <dimension ref="A1:J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8"/>
    <col collapsed="false" customWidth="true" hidden="false" outlineLevel="0" max="10" min="2" style="0" width="13"/>
  </cols>
  <sheetData>
    <row r="1" customFormat="false" ht="18" hidden="false" customHeight="true" outlineLevel="0" collapsed="false">
      <c r="A1" s="1" t="s">
        <v>112</v>
      </c>
      <c r="B1" s="1"/>
      <c r="C1" s="1"/>
      <c r="D1" s="1"/>
      <c r="E1" s="1"/>
      <c r="F1" s="1"/>
      <c r="G1" s="1"/>
      <c r="H1" s="1"/>
      <c r="I1" s="1"/>
      <c r="J1" s="1"/>
    </row>
    <row r="2" customFormat="false" ht="18" hidden="false" customHeight="true" outlineLevel="0" collapsed="false">
      <c r="A2" s="1"/>
      <c r="B2" s="1"/>
      <c r="C2" s="1"/>
      <c r="D2" s="1"/>
      <c r="E2" s="1"/>
      <c r="F2" s="1"/>
      <c r="G2" s="1"/>
      <c r="H2" s="1"/>
      <c r="I2" s="1"/>
      <c r="J2" s="1"/>
    </row>
    <row r="3" customFormat="false" ht="7.5" hidden="false" customHeight="true" outlineLevel="0" collapsed="false"/>
    <row r="4" customFormat="false" ht="21.75" hidden="false" customHeight="true" outlineLevel="0" collapsed="false">
      <c r="A4" s="26" t="s">
        <v>113</v>
      </c>
      <c r="B4" s="26"/>
      <c r="C4" s="26"/>
      <c r="D4" s="26"/>
      <c r="E4" s="26"/>
      <c r="F4" s="26"/>
      <c r="G4" s="26"/>
      <c r="H4" s="26"/>
      <c r="I4" s="26"/>
      <c r="J4" s="26"/>
    </row>
    <row r="5" customFormat="false" ht="21.75" hidden="false" customHeight="true" outlineLevel="0" collapsed="false">
      <c r="A5" s="17" t="s">
        <v>114</v>
      </c>
      <c r="B5" s="46" t="n">
        <v>200</v>
      </c>
      <c r="C5" s="46" t="n">
        <v>400</v>
      </c>
      <c r="D5" s="46" t="n">
        <v>600</v>
      </c>
      <c r="E5" s="46" t="n">
        <v>700</v>
      </c>
      <c r="F5" s="46" t="n">
        <v>800</v>
      </c>
      <c r="G5" s="46" t="n">
        <v>1000</v>
      </c>
      <c r="H5" s="46" t="n">
        <v>1200</v>
      </c>
      <c r="I5" s="46" t="n">
        <v>1500</v>
      </c>
      <c r="J5" s="17" t="s">
        <v>115</v>
      </c>
    </row>
    <row r="6" customFormat="false" ht="21.75" hidden="false" customHeight="true" outlineLevel="0" collapsed="false">
      <c r="A6" s="47" t="s">
        <v>44</v>
      </c>
      <c r="B6" s="48" t="n">
        <f aca="false">MIN('Capital Structure'!$B$5,MAX(0,(200+50)))/'Capital Structure'!$B$5</f>
        <v>0.833333333333333</v>
      </c>
      <c r="C6" s="48" t="n">
        <f aca="false">MIN('Capital Structure'!$B$5,MAX(0,(400+50)))/'Capital Structure'!$B$5</f>
        <v>1</v>
      </c>
      <c r="D6" s="48" t="n">
        <f aca="false">MIN('Capital Structure'!$B$5,MAX(0,(600+50)))/'Capital Structure'!$B$5</f>
        <v>1</v>
      </c>
      <c r="E6" s="48" t="n">
        <f aca="false">MIN('Capital Structure'!$B$5,MAX(0,(700+50)))/'Capital Structure'!$B$5</f>
        <v>1</v>
      </c>
      <c r="F6" s="48" t="n">
        <f aca="false">MIN('Capital Structure'!$B$5,MAX(0,(800+50)))/'Capital Structure'!$B$5</f>
        <v>1</v>
      </c>
      <c r="G6" s="48" t="n">
        <f aca="false">MIN('Capital Structure'!$B$5,MAX(0,(1000+50)))/'Capital Structure'!$B$5</f>
        <v>1</v>
      </c>
      <c r="H6" s="48" t="n">
        <f aca="false">MIN('Capital Structure'!$B$5,MAX(0,(1200+50)))/'Capital Structure'!$B$5</f>
        <v>1</v>
      </c>
      <c r="I6" s="48" t="n">
        <f aca="false">MIN('Capital Structure'!$B$5,MAX(0,(1500+50)))/'Capital Structure'!$B$5</f>
        <v>1</v>
      </c>
      <c r="J6" s="36" t="n">
        <f aca="false">'Capital Structure'!$B$5</f>
        <v>300</v>
      </c>
    </row>
    <row r="7" customFormat="false" ht="21.75" hidden="false" customHeight="true" outlineLevel="0" collapsed="false">
      <c r="A7" s="47" t="s">
        <v>46</v>
      </c>
      <c r="B7" s="48" t="n">
        <f aca="false">MIN('Capital Structure'!$B$6,MAX(0,(200+50)-('Capital Structure'!$B$5)))/'Capital Structure'!$B$6</f>
        <v>0</v>
      </c>
      <c r="C7" s="48" t="n">
        <f aca="false">MIN('Capital Structure'!$B$6,MAX(0,(400+50)-('Capital Structure'!$B$5)))/'Capital Structure'!$B$6</f>
        <v>0.5</v>
      </c>
      <c r="D7" s="48" t="n">
        <f aca="false">MIN('Capital Structure'!$B$6,MAX(0,(600+50)-('Capital Structure'!$B$5)))/'Capital Structure'!$B$6</f>
        <v>1</v>
      </c>
      <c r="E7" s="48" t="n">
        <f aca="false">MIN('Capital Structure'!$B$6,MAX(0,(700+50)-('Capital Structure'!$B$5)))/'Capital Structure'!$B$6</f>
        <v>1</v>
      </c>
      <c r="F7" s="48" t="n">
        <f aca="false">MIN('Capital Structure'!$B$6,MAX(0,(800+50)-('Capital Structure'!$B$5)))/'Capital Structure'!$B$6</f>
        <v>1</v>
      </c>
      <c r="G7" s="48" t="n">
        <f aca="false">MIN('Capital Structure'!$B$6,MAX(0,(1000+50)-('Capital Structure'!$B$5)))/'Capital Structure'!$B$6</f>
        <v>1</v>
      </c>
      <c r="H7" s="48" t="n">
        <f aca="false">MIN('Capital Structure'!$B$6,MAX(0,(1200+50)-('Capital Structure'!$B$5)))/'Capital Structure'!$B$6</f>
        <v>1</v>
      </c>
      <c r="I7" s="48" t="n">
        <f aca="false">MIN('Capital Structure'!$B$6,MAX(0,(1500+50)-('Capital Structure'!$B$5)))/'Capital Structure'!$B$6</f>
        <v>1</v>
      </c>
      <c r="J7" s="36" t="n">
        <f aca="false">'Capital Structure'!$B$5+'Capital Structure'!$B$6</f>
        <v>600</v>
      </c>
    </row>
    <row r="8" customFormat="false" ht="21.75" hidden="false" customHeight="true" outlineLevel="0" collapsed="false">
      <c r="A8" s="47" t="s">
        <v>48</v>
      </c>
      <c r="B8" s="48" t="n">
        <f aca="false">MIN('Capital Structure'!$B$7,MAX(0,(200+50)-('Capital Structure'!$B$5+'Capital Structure'!$B$6)))/'Capital Structure'!$B$7</f>
        <v>0</v>
      </c>
      <c r="C8" s="48" t="n">
        <f aca="false">MIN('Capital Structure'!$B$7,MAX(0,(400+50)-('Capital Structure'!$B$5+'Capital Structure'!$B$6)))/'Capital Structure'!$B$7</f>
        <v>0</v>
      </c>
      <c r="D8" s="48" t="n">
        <f aca="false">MIN('Capital Structure'!$B$7,MAX(0,(600+50)-('Capital Structure'!$B$5+'Capital Structure'!$B$6)))/'Capital Structure'!$B$7</f>
        <v>0.333333333333333</v>
      </c>
      <c r="E8" s="48" t="n">
        <f aca="false">MIN('Capital Structure'!$B$7,MAX(0,(700+50)-('Capital Structure'!$B$5+'Capital Structure'!$B$6)))/'Capital Structure'!$B$7</f>
        <v>1</v>
      </c>
      <c r="F8" s="48" t="n">
        <f aca="false">MIN('Capital Structure'!$B$7,MAX(0,(800+50)-('Capital Structure'!$B$5+'Capital Structure'!$B$6)))/'Capital Structure'!$B$7</f>
        <v>1</v>
      </c>
      <c r="G8" s="48" t="n">
        <f aca="false">MIN('Capital Structure'!$B$7,MAX(0,(1000+50)-('Capital Structure'!$B$5+'Capital Structure'!$B$6)))/'Capital Structure'!$B$7</f>
        <v>1</v>
      </c>
      <c r="H8" s="48" t="n">
        <f aca="false">MIN('Capital Structure'!$B$7,MAX(0,(1200+50)-('Capital Structure'!$B$5+'Capital Structure'!$B$6)))/'Capital Structure'!$B$7</f>
        <v>1</v>
      </c>
      <c r="I8" s="48" t="n">
        <f aca="false">MIN('Capital Structure'!$B$7,MAX(0,(1500+50)-('Capital Structure'!$B$5+'Capital Structure'!$B$6)))/'Capital Structure'!$B$7</f>
        <v>1</v>
      </c>
      <c r="J8" s="36" t="n">
        <f aca="false">'Capital Structure'!$B$5+'Capital Structure'!$B$6+'Capital Structure'!$B$7</f>
        <v>750</v>
      </c>
    </row>
    <row r="9" customFormat="false" ht="21.75" hidden="false" customHeight="true" outlineLevel="0" collapsed="false">
      <c r="A9" s="47" t="s">
        <v>50</v>
      </c>
      <c r="B9" s="48" t="n">
        <f aca="false">MIN('Capital Structure'!$B$8,MAX(0,(200+50)-('Capital Structure'!$B$5+'Capital Structure'!$B$6+'Capital Structure'!$B$7)))/'Capital Structure'!$B$8</f>
        <v>0</v>
      </c>
      <c r="C9" s="48" t="n">
        <f aca="false">MIN('Capital Structure'!$B$8,MAX(0,(400+50)-('Capital Structure'!$B$5+'Capital Structure'!$B$6+'Capital Structure'!$B$7)))/'Capital Structure'!$B$8</f>
        <v>0</v>
      </c>
      <c r="D9" s="48" t="n">
        <f aca="false">MIN('Capital Structure'!$B$8,MAX(0,(600+50)-('Capital Structure'!$B$5+'Capital Structure'!$B$6+'Capital Structure'!$B$7)))/'Capital Structure'!$B$8</f>
        <v>0</v>
      </c>
      <c r="E9" s="48" t="n">
        <f aca="false">MIN('Capital Structure'!$B$8,MAX(0,(700+50)-('Capital Structure'!$B$5+'Capital Structure'!$B$6+'Capital Structure'!$B$7)))/'Capital Structure'!$B$8</f>
        <v>0</v>
      </c>
      <c r="F9" s="48" t="n">
        <f aca="false">MIN('Capital Structure'!$B$8,MAX(0,(800+50)-('Capital Structure'!$B$5+'Capital Structure'!$B$6+'Capital Structure'!$B$7)))/'Capital Structure'!$B$8</f>
        <v>1</v>
      </c>
      <c r="G9" s="48" t="n">
        <f aca="false">MIN('Capital Structure'!$B$8,MAX(0,(1000+50)-('Capital Structure'!$B$5+'Capital Structure'!$B$6+'Capital Structure'!$B$7)))/'Capital Structure'!$B$8</f>
        <v>1</v>
      </c>
      <c r="H9" s="48" t="n">
        <f aca="false">MIN('Capital Structure'!$B$8,MAX(0,(1200+50)-('Capital Structure'!$B$5+'Capital Structure'!$B$6+'Capital Structure'!$B$7)))/'Capital Structure'!$B$8</f>
        <v>1</v>
      </c>
      <c r="I9" s="48" t="n">
        <f aca="false">MIN('Capital Structure'!$B$8,MAX(0,(1500+50)-('Capital Structure'!$B$5+'Capital Structure'!$B$6+'Capital Structure'!$B$7)))/'Capital Structure'!$B$8</f>
        <v>1</v>
      </c>
      <c r="J9" s="36" t="n">
        <f aca="false">'Capital Structure'!$B$5+'Capital Structure'!$B$6+'Capital Structure'!$B$7+'Capital Structure'!$B$8</f>
        <v>800</v>
      </c>
    </row>
    <row r="10" customFormat="false" ht="21.75" hidden="false" customHeight="true" outlineLevel="0" collapsed="false">
      <c r="A10" s="47" t="s">
        <v>52</v>
      </c>
      <c r="B10" s="48" t="n">
        <f aca="false">MIN('Capital Structure'!$B$9,MAX(0,(200+50)-('Capital Structure'!$B$5+'Capital Structure'!$B$6+'Capital Structure'!$B$7+'Capital Structure'!$B$8)))/'Capital Structure'!$B$9</f>
        <v>0</v>
      </c>
      <c r="C10" s="48" t="n">
        <f aca="false">MIN('Capital Structure'!$B$9,MAX(0,(400+50)-('Capital Structure'!$B$5+'Capital Structure'!$B$6+'Capital Structure'!$B$7+'Capital Structure'!$B$8)))/'Capital Structure'!$B$9</f>
        <v>0</v>
      </c>
      <c r="D10" s="48" t="n">
        <f aca="false">MIN('Capital Structure'!$B$9,MAX(0,(600+50)-('Capital Structure'!$B$5+'Capital Structure'!$B$6+'Capital Structure'!$B$7+'Capital Structure'!$B$8)))/'Capital Structure'!$B$9</f>
        <v>0</v>
      </c>
      <c r="E10" s="48" t="n">
        <f aca="false">MIN('Capital Structure'!$B$9,MAX(0,(700+50)-('Capital Structure'!$B$5+'Capital Structure'!$B$6+'Capital Structure'!$B$7+'Capital Structure'!$B$8)))/'Capital Structure'!$B$9</f>
        <v>0</v>
      </c>
      <c r="F10" s="48" t="n">
        <f aca="false">MIN('Capital Structure'!$B$9,MAX(0,(800+50)-('Capital Structure'!$B$5+'Capital Structure'!$B$6+'Capital Structure'!$B$7+'Capital Structure'!$B$8)))/'Capital Structure'!$B$9</f>
        <v>0.125</v>
      </c>
      <c r="G10" s="48" t="n">
        <f aca="false">MIN('Capital Structure'!$B$9,MAX(0,(1000+50)-('Capital Structure'!$B$5+'Capital Structure'!$B$6+'Capital Structure'!$B$7+'Capital Structure'!$B$8)))/'Capital Structure'!$B$9</f>
        <v>0.625</v>
      </c>
      <c r="H10" s="48" t="n">
        <f aca="false">MIN('Capital Structure'!$B$9,MAX(0,(1200+50)-('Capital Structure'!$B$5+'Capital Structure'!$B$6+'Capital Structure'!$B$7+'Capital Structure'!$B$8)))/'Capital Structure'!$B$9</f>
        <v>1</v>
      </c>
      <c r="I10" s="48" t="n">
        <f aca="false">MIN('Capital Structure'!$B$9,MAX(0,(1500+50)-('Capital Structure'!$B$5+'Capital Structure'!$B$6+'Capital Structure'!$B$7+'Capital Structure'!$B$8)))/'Capital Structure'!$B$9</f>
        <v>1</v>
      </c>
      <c r="J10" s="36" t="n">
        <f aca="false">'Capital Structure'!$B$5+'Capital Structure'!$B$6+'Capital Structure'!$B$7+'Capital Structure'!$B$8+'Capital Structure'!$B$9</f>
        <v>1200</v>
      </c>
    </row>
    <row r="12" customFormat="false" ht="55.5" hidden="false" customHeight="true" outlineLevel="0" collapsed="false">
      <c r="A12" s="39" t="s">
        <v>116</v>
      </c>
      <c r="B12" s="39"/>
      <c r="C12" s="39"/>
      <c r="D12" s="39"/>
      <c r="E12" s="39"/>
      <c r="F12" s="39"/>
      <c r="G12" s="39"/>
      <c r="H12" s="39"/>
      <c r="I12" s="39"/>
      <c r="J12" s="39"/>
    </row>
    <row r="14" customFormat="false" ht="21.75" hidden="false" customHeight="true" outlineLevel="0" collapsed="false">
      <c r="A14" s="26" t="s">
        <v>117</v>
      </c>
      <c r="B14" s="26"/>
      <c r="C14" s="26"/>
      <c r="D14" s="26"/>
      <c r="E14" s="26"/>
      <c r="F14" s="26"/>
      <c r="G14" s="26"/>
      <c r="H14" s="26"/>
      <c r="I14" s="26"/>
      <c r="J14" s="26"/>
    </row>
    <row r="15" customFormat="false" ht="90" hidden="false" customHeight="true" outlineLevel="0" collapsed="false">
      <c r="A15" s="39" t="s">
        <v>118</v>
      </c>
      <c r="B15" s="39"/>
      <c r="C15" s="39"/>
      <c r="D15" s="39"/>
      <c r="E15" s="39"/>
      <c r="F15" s="39"/>
      <c r="G15" s="39"/>
      <c r="H15" s="39"/>
      <c r="I15" s="39"/>
      <c r="J15" s="39"/>
    </row>
  </sheetData>
  <mergeCells count="5">
    <mergeCell ref="A1:J2"/>
    <mergeCell ref="A4:J4"/>
    <mergeCell ref="A12:J12"/>
    <mergeCell ref="A14:J14"/>
    <mergeCell ref="A15:J1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2026-05-09T08:48:46Z</dcterms:created>
  <dc:creator>openpyxl</dc:creator>
  <dc:description/>
  <dc:language>en-US</dc:language>
  <cp:lastModifiedBy/>
  <dcterms:modified xsi:type="dcterms:W3CDTF">2026-05-09T08:48:46Z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