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Inputs" sheetId="2" state="visible" r:id="rId4"/>
    <sheet name="Capital Structure" sheetId="3" state="visible" r:id="rId5"/>
    <sheet name="Payout Policy" sheetId="4" state="visible" r:id="rId6"/>
    <sheet name="Sensitivity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<sst xmlns="http://schemas.openxmlformats.org/spreadsheetml/2006/main" count="152" uniqueCount="148">
  <si>
    <t xml:space="preserve">Capital Structure &amp; Payout Policy Toolkit · Module 10</t>
  </si>
  <si>
    <t xml:space="preserve">Globefin Corporate Finance · The firm's two ongoing financial-policy decisions</t>
  </si>
  <si>
    <t xml:space="preserve">How this model works</t>
  </si>
  <si>
    <t xml:space="preserve">This toolkit explores two related decisions that define a firm's ongoing financial identity. First: how much debt should the firm carry? (capital structure). Second: how should the firm return cash to shareholders? (payout policy). Sample Co. returns to its healthy state from M04-07 and the toolkit asks what optimal financial policy looks like.</t>
  </si>
  <si>
    <t xml:space="preserve">Step 1 - Set firm fundamentals</t>
  </si>
  <si>
    <t xml:space="preserve">The Inputs tab has Sample Co.'s operating metrics and the parameters that drive capital-structure trade-offs. Edit the yellow input cells with your firm's data.</t>
  </si>
  <si>
    <t xml:space="preserve">Step 2 - Read the WACC curve</t>
  </si>
  <si>
    <t xml:space="preserve">The Capital Structure tab computes WACC, levered cost of equity, after-tax cost of debt, and firm value at each debt-to-EV ratio from 0% to 80%. The minimum-WACC point is the optimal capital structure.</t>
  </si>
  <si>
    <t xml:space="preserve">Step 3 - Identify the optimum</t>
  </si>
  <si>
    <t xml:space="preserve">The toolkit highlights the leverage level that minimizes WACC (and equivalently maximizes levered firm value). With default parameters, this falls around 65-70% - which is HIGHER than most healthy industrials actually operate. This is a known feature of the basic trade-off model: it predicts more leverage than firms choose. Real firms operate below the textbook optimum because of financial flexibility (preserving debt capacity for shocks), agency costs of debt (covenant restrictions), and credit-rating considerations. The lesson explains this divergence.</t>
  </si>
  <si>
    <t xml:space="preserve">Step 4 - Plan payout policy</t>
  </si>
  <si>
    <t xml:space="preserve">The Payout Policy tab takes free cash flow and shows three allocation scenarios: dividend-heavy, buyback-heavy, and balanced. Each scenario shows the dividend yield, payout ratio, share-count effect, and total shareholder yield.</t>
  </si>
  <si>
    <t xml:space="preserve">Step 5 - Test sensitivity</t>
  </si>
  <si>
    <t xml:space="preserve">The Sensitivity tab varies distress-cost magnitude and curvature, and shows how the optimal capital structure shifts. Higher distress costs push the optimum lower; lower distress costs push it higher.</t>
  </si>
  <si>
    <t xml:space="preserve">Click any black-text cell to see the formula. Cross-sheet references appear in green. Editable inputs are blue text on light-yellow fill.</t>
  </si>
  <si>
    <t xml:space="preserve">Color &amp; format key</t>
  </si>
  <si>
    <t xml:space="preserve">Blue on yellow</t>
  </si>
  <si>
    <t xml:space="preserve">Input cells - replace with your data</t>
  </si>
  <si>
    <t xml:space="preserve">Black</t>
  </si>
  <si>
    <t xml:space="preserve">Formula or calculated value - do not edit</t>
  </si>
  <si>
    <t xml:space="preserve">Green</t>
  </si>
  <si>
    <t xml:space="preserve">Cross-sheet reference (pulled from another tab)</t>
  </si>
  <si>
    <t xml:space="preserve">White on navy</t>
  </si>
  <si>
    <t xml:space="preserve">Section header</t>
  </si>
  <si>
    <t xml:space="preserve">Bold black on gray</t>
  </si>
  <si>
    <t xml:space="preserve">Subtotal row</t>
  </si>
  <si>
    <t xml:space="preserve">Light green</t>
  </si>
  <si>
    <t xml:space="preserve">Optimal leverage point (minimum WACC)</t>
  </si>
  <si>
    <t xml:space="preserve">Light red</t>
  </si>
  <si>
    <t xml:space="preserve">Distressed leverage region (high distress costs)</t>
  </si>
  <si>
    <t xml:space="preserve">Caveats and limitations</t>
  </si>
  <si>
    <t xml:space="preserve">- The trade-off model is one of several frameworks. Pecking-order theory (firms prefer internal financing, then debt, then equity) and market-timing theory (firms issue securities when markets are favorable) are alternatives that better fit some empirical patterns. The model here implements the trade-off framework, the standard textbook approach, but it should be read as one lens.</t>
  </si>
  <si>
    <t xml:space="preserve">- Distress-cost magnitude is hard to estimate. The model uses a power function calibrated to give 5-15% of firm value lost in deep distress. Real distress costs vary enormously by industry: asset-light tech firms (low cost), capital-intensive industrials (medium), specialized services with brand-dependent value (high).</t>
  </si>
  <si>
    <t xml:space="preserve">- The cost-of-debt curve is similarly stylized. Real credit spreads are non-monotonic in leverage with threshold effects at credit-rating boundaries. The smooth curve here approximates the average pattern but misses these features.</t>
  </si>
  <si>
    <t xml:space="preserve">- Tax-shield value depends on the firm having taxable income to shield. Loss-making firms get no current tax benefit. The model assumes the firm has sufficient EBITDA to use tax shields fully - reasonable for healthy firms but not for marginal cases.</t>
  </si>
  <si>
    <t xml:space="preserve">- Payout policy choices interact with capital structure: dividends and buybacks reduce equity, mechanically raising leverage. The toolkit's Payout Policy tab assumes a fixed capital structure for simplicity; real firms manage both decisions jointly.</t>
  </si>
  <si>
    <t xml:space="preserve">- Country-specific factors matter enormously. German Hausbank-relationship debt, Japanese keiretsu cross-holdings, US public-debt-market depth, Brazilian inflation-driven payout norms, Chinese state-influenced credit allocation - none captured by the universal trade-off framework. Apply local adjustments for non-US firms.</t>
  </si>
  <si>
    <t xml:space="preserve">Firm Inputs - Sample Co. (healthy state, post-M07)</t>
  </si>
  <si>
    <t xml:space="preserve">  OPERATING METRICS</t>
  </si>
  <si>
    <t xml:space="preserve">Revenue ($M)</t>
  </si>
  <si>
    <t xml:space="preserve">From Module 07 DCF</t>
  </si>
  <si>
    <t xml:space="preserve">EBITDA ($M)</t>
  </si>
  <si>
    <t xml:space="preserve">Y1 EBITDA from M04 toolkit</t>
  </si>
  <si>
    <t xml:space="preserve">Free cash flow to firm ($M)</t>
  </si>
  <si>
    <t xml:space="preserve">After capex and working capital</t>
  </si>
  <si>
    <t xml:space="preserve">Unlevered firm value ($M)</t>
  </si>
  <si>
    <t xml:space="preserve">Vu - DCF without tax shields</t>
  </si>
  <si>
    <t xml:space="preserve">Diluted shares (M)</t>
  </si>
  <si>
    <t xml:space="preserve">Including options, RSUs</t>
  </si>
  <si>
    <t xml:space="preserve">Share price (current)</t>
  </si>
  <si>
    <t xml:space="preserve">Pre-modeled market price</t>
  </si>
  <si>
    <t xml:space="preserve">  CAPITAL STRUCTURE PARAMETERS</t>
  </si>
  <si>
    <t xml:space="preserve">Unlevered cost of equity (Ru)</t>
  </si>
  <si>
    <t xml:space="preserve">Cost of equity if firm had no debt</t>
  </si>
  <si>
    <t xml:space="preserve">Risk-free rate (Rf)</t>
  </si>
  <si>
    <t xml:space="preserve">10-year Treasury yield</t>
  </si>
  <si>
    <t xml:space="preserve">Marginal tax rate (T)</t>
  </si>
  <si>
    <t xml:space="preserve">Drives tax-shield value of debt</t>
  </si>
  <si>
    <t xml:space="preserve">Base credit spread (at 0% leverage)</t>
  </si>
  <si>
    <t xml:space="preserve">Spread for risk-free firm (small term premium)</t>
  </si>
  <si>
    <t xml:space="preserve">Spread curvature parameter</t>
  </si>
  <si>
    <t xml:space="preserve">Higher = spread rises faster with leverage</t>
  </si>
  <si>
    <t xml:space="preserve">Distress cost (max %, deep distress)</t>
  </si>
  <si>
    <t xml:space="preserve">Max value loss at extreme leverage (20% typical)</t>
  </si>
  <si>
    <t xml:space="preserve">Distress cost curvature parameter</t>
  </si>
  <si>
    <t xml:space="preserve">Higher = distress costs rise faster with leverage</t>
  </si>
  <si>
    <t xml:space="preserve">  PAYOUT POLICY PARAMETERS</t>
  </si>
  <si>
    <t xml:space="preserve">Distributable cash pool ($M)</t>
  </si>
  <si>
    <t xml:space="preserve">FCF less reinvestment less mandatory debt service</t>
  </si>
  <si>
    <t xml:space="preserve">Current dividend per share</t>
  </si>
  <si>
    <t xml:space="preserve">Annualized; baseline dividend rate</t>
  </si>
  <si>
    <t xml:space="preserve">Capital Structure Trade-Off - WACC and Firm Value across Leverage</t>
  </si>
  <si>
    <t xml:space="preserve">Debt/EV</t>
  </si>
  <si>
    <t xml:space="preserve">Pre-tax Rd</t>
  </si>
  <si>
    <t xml:space="preserve">After-tax Rd</t>
  </si>
  <si>
    <t xml:space="preserve">Levered Re</t>
  </si>
  <si>
    <t xml:space="preserve">WACC</t>
  </si>
  <si>
    <t xml:space="preserve">Tax shield $</t>
  </si>
  <si>
    <t xml:space="preserve">PV tax shield</t>
  </si>
  <si>
    <t xml:space="preserve">Distress %</t>
  </si>
  <si>
    <t xml:space="preserve">PV distress $</t>
  </si>
  <si>
    <t xml:space="preserve">Levered V</t>
  </si>
  <si>
    <t xml:space="preserve">Optimal leverage (max V_L)</t>
  </si>
  <si>
    <t xml:space="preserve">WACC at opt:</t>
  </si>
  <si>
    <t xml:space="preserve">Max V_L:</t>
  </si>
  <si>
    <t xml:space="preserve">&lt;- optimal capital structure</t>
  </si>
  <si>
    <t xml:space="preserve">Read this top-to-bottom: at 0% debt, WACC equals the unlevered cost of equity. As leverage rises, tax shields grow linearly (G column) while distress costs grow non-linearly (I column). The textbook trade-off optimum (highest V_L) sits at ~65-70% with these parameters. This is HIGHER than most healthy industrials actually operate. Real firms target lower leverage to preserve financial flexibility, avoid covenant restrictions, maintain investment-grade ratings, and limit non-modeled distress costs (customer flight, supplier tightening). Treat the textbook optimum as an upper bound, not a target.</t>
  </si>
  <si>
    <t xml:space="preserve">Payout Policy - Three Allocation Scenarios</t>
  </si>
  <si>
    <t xml:space="preserve">Metric</t>
  </si>
  <si>
    <t xml:space="preserve">Dividend-heavy</t>
  </si>
  <si>
    <t xml:space="preserve">Buyback-heavy</t>
  </si>
  <si>
    <t xml:space="preserve">Balanced</t>
  </si>
  <si>
    <t xml:space="preserve">Notes</t>
  </si>
  <si>
    <t xml:space="preserve">Same pool, three allocations</t>
  </si>
  <si>
    <t xml:space="preserve">% to dividends</t>
  </si>
  <si>
    <t xml:space="preserve">Edit to change scenario mix</t>
  </si>
  <si>
    <t xml:space="preserve">% to buybacks</t>
  </si>
  <si>
    <t xml:space="preserve">Residual: 1 - dividend %</t>
  </si>
  <si>
    <t xml:space="preserve">  DIVIDEND IMPACT</t>
  </si>
  <si>
    <t xml:space="preserve">Total dividends ($M)</t>
  </si>
  <si>
    <t xml:space="preserve">Pool x dividend %</t>
  </si>
  <si>
    <t xml:space="preserve">Dividend per share</t>
  </si>
  <si>
    <t xml:space="preserve">Total dividend / shares</t>
  </si>
  <si>
    <t xml:space="preserve">Dividend yield</t>
  </si>
  <si>
    <t xml:space="preserve">DPS / share price</t>
  </si>
  <si>
    <t xml:space="preserve">  BUYBACK IMPACT</t>
  </si>
  <si>
    <t xml:space="preserve">Total buybacks ($M)</t>
  </si>
  <si>
    <t xml:space="preserve">Pool x buyback %</t>
  </si>
  <si>
    <t xml:space="preserve">Shares repurchased (M)</t>
  </si>
  <si>
    <t xml:space="preserve">Buyback $ / share price</t>
  </si>
  <si>
    <t xml:space="preserve">% shares repurchased</t>
  </si>
  <si>
    <t xml:space="preserve">Annualized share count reduction</t>
  </si>
  <si>
    <t xml:space="preserve">  TOTAL SHAREHOLDER YIELD</t>
  </si>
  <si>
    <t xml:space="preserve">Total cash return ($M)</t>
  </si>
  <si>
    <t xml:space="preserve">Same total: $100M in all scenarios</t>
  </si>
  <si>
    <t xml:space="preserve">Total shareholder yield</t>
  </si>
  <si>
    <t xml:space="preserve">Total payout / market cap</t>
  </si>
  <si>
    <t xml:space="preserve">All three scenarios deliver the same total cash return ($100M). The difference is form: dividends are taxable income (recurring); buybacks reduce share count (capital gains tax deferred). Pre-tax, the choice between them is purely cosmetic. After-tax, in jurisdictions where buybacks are tax-favored (US since 1980s), buybacks dominate. The empirical pattern of US firms shifting heavily toward buybacks since 1990 reflects this tax arbitrage.</t>
  </si>
  <si>
    <t xml:space="preserve">Optimal Leverage Sensitivity</t>
  </si>
  <si>
    <t xml:space="preserve">  OPTIMAL LEVERAGE % - Distress Cost Magnitude (rows) x Distress Curvature (columns)</t>
  </si>
  <si>
    <t xml:space="preserve">Distress / Curve</t>
  </si>
  <si>
    <t xml:space="preserve">Read this as the optimal leverage that maximizes levered firm value, using the closed-form approximation L* = (T / (dm * dc))^(1/(dc-1)). Higher distress-cost magnitude and higher curvature both push the optimum lower. Tax rate (set in Inputs, default 25%) is the other key input - higher tax rates make tax shields more valuable, pushing the optimum higher. The base case (highlighted) is 20% distress max + 5.0 curvature.</t>
  </si>
  <si>
    <t xml:space="preserve">  INDUSTRY CONTEXT - Typical distress-cost parameters</t>
  </si>
  <si>
    <t xml:space="preserve">Industry profile</t>
  </si>
  <si>
    <t xml:space="preserve">Distress max %</t>
  </si>
  <si>
    <t xml:space="preserve">Distress curve</t>
  </si>
  <si>
    <t xml:space="preserve">Typical leverage</t>
  </si>
  <si>
    <t xml:space="preserve">Asset-light tech (SaaS)</t>
  </si>
  <si>
    <t xml:space="preserve">10-15%</t>
  </si>
  <si>
    <t xml:space="preserve">3.5-5.0</t>
  </si>
  <si>
    <t xml:space="preserve">10-25%</t>
  </si>
  <si>
    <t xml:space="preserve">Industrials (manufacturing)</t>
  </si>
  <si>
    <t xml:space="preserve">20-25%</t>
  </si>
  <si>
    <t xml:space="preserve">5.0-6.5</t>
  </si>
  <si>
    <t xml:space="preserve">30-45%</t>
  </si>
  <si>
    <t xml:space="preserve">Specialty services (brand-dependent)</t>
  </si>
  <si>
    <t xml:space="preserve">25-35%</t>
  </si>
  <si>
    <t xml:space="preserve">6.5-8.0</t>
  </si>
  <si>
    <t xml:space="preserve">20-30%</t>
  </si>
  <si>
    <t xml:space="preserve">Utilities (stable cash flow)</t>
  </si>
  <si>
    <t xml:space="preserve">50-65%</t>
  </si>
  <si>
    <t xml:space="preserve">Real estate (asset-heavy)</t>
  </si>
  <si>
    <t xml:space="preserve">15-20%</t>
  </si>
  <si>
    <t xml:space="preserve">55-70%</t>
  </si>
  <si>
    <t xml:space="preserve">Cyclical (mining, autos)</t>
  </si>
  <si>
    <t xml:space="preserve">30-40%</t>
  </si>
  <si>
    <t xml:space="preserve">8.0-10.0</t>
  </si>
  <si>
    <t xml:space="preserve">15-25%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</si>
</sst>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_);_(\$* \(#,##0\);_(\$* \-_);_(@_)"/>
    <numFmt numFmtId="166" formatCode="#,##0.0"/>
    <numFmt numFmtId="167" formatCode="\$#,##0.00"/>
    <numFmt numFmtId="168" formatCode="0.00%;\(0.00%\);\-"/>
    <numFmt numFmtId="169" formatCode="0%;\(0%\);\-"/>
    <numFmt numFmtId="170" formatCode="#,##0.00"/>
    <numFmt numFmtId="171" formatCode="0.0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1"/>
      <color rgb="FFF8C10B"/>
      <name val="Arial"/>
      <family val="0"/>
      <charset val="1"/>
    </font>
    <font>
      <b val="true"/>
      <sz val="14"/>
      <color rgb="FF0B102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0B102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166534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8C10B"/>
      <name val="Arial"/>
      <family val="0"/>
      <charset val="1"/>
    </font>
    <font>
      <i val="true"/>
      <sz val="10"/>
      <color rgb="FFFFFFFF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0B1020"/>
        <bgColor rgb="FF000000"/>
      </patternFill>
    </fill>
    <fill>
      <patternFill patternType="solid">
        <fgColor rgb="FFFFFACD"/>
        <bgColor rgb="FFFFF8E1"/>
      </patternFill>
    </fill>
    <fill>
      <patternFill patternType="solid">
        <fgColor rgb="FFF7F9FC"/>
        <bgColor rgb="FFFFFFFF"/>
      </patternFill>
    </fill>
    <fill>
      <patternFill patternType="solid">
        <fgColor rgb="FFE2F5E2"/>
        <bgColor rgb="FFE6E8ED"/>
      </patternFill>
    </fill>
    <fill>
      <patternFill patternType="solid">
        <fgColor rgb="FFFCE8EA"/>
        <bgColor rgb="FFE6E8ED"/>
      </patternFill>
    </fill>
    <fill>
      <patternFill patternType="solid">
        <fgColor rgb="FFFFF8E1"/>
        <bgColor rgb="FFFFFBE9"/>
      </patternFill>
    </fill>
    <fill>
      <patternFill patternType="solid">
        <fgColor rgb="FFFFFBE9"/>
        <bgColor rgb="FFFFF8E1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6E8ED"/>
      </left>
      <right style="thin">
        <color rgb="FFE6E8ED"/>
      </right>
      <top style="thin">
        <color rgb="FFE6E8ED"/>
      </top>
      <bottom style="thin">
        <color rgb="FFE6E8ED"/>
      </bottom>
      <diagonal/>
    </border>
    <border diagonalUp="false" diagonalDown="false">
      <left style="thin">
        <color rgb="FFE6E8ED"/>
      </left>
      <right/>
      <top style="thin">
        <color rgb="FFE6E8ED"/>
      </top>
      <bottom style="thin">
        <color rgb="FFE6E8E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6534"/>
      <rgbColor rgb="FFC0C0C0"/>
      <rgbColor rgb="FF808080"/>
      <rgbColor rgb="FF9999FF"/>
      <rgbColor rgb="FF9C27B0"/>
      <rgbColor rgb="FFFFFACD"/>
      <rgbColor rgb="FFE6E8ED"/>
      <rgbColor rgb="FF660066"/>
      <rgbColor rgb="FFFF8080"/>
      <rgbColor rgb="FF0070C0"/>
      <rgbColor rgb="FFFFFBE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F9FC"/>
      <rgbColor rgb="FFE2F5E2"/>
      <rgbColor rgb="FFFFF8E1"/>
      <rgbColor rgb="FF99CCFF"/>
      <rgbColor rgb="FFFF99CC"/>
      <rgbColor rgb="FFCC99FF"/>
      <rgbColor rgb="FFFCE8EA"/>
      <rgbColor rgb="FF3366FF"/>
      <rgbColor rgb="FF33CCCC"/>
      <rgbColor rgb="FF99CC00"/>
      <rgbColor rgb="FFF8C10B"/>
      <rgbColor rgb="FFFF9900"/>
      <rgbColor rgb="FFFF6B35"/>
      <rgbColor rgb="FF666666"/>
      <rgbColor rgb="FF969696"/>
      <rgbColor rgb="FF003366"/>
      <rgbColor rgb="FF16A34A"/>
      <rgbColor rgb="FF0B102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95"/>
  </cols>
  <sheetData>
    <row r="1" customFormat="false" ht="19.5" hidden="false" customHeight="true" outlineLevel="0" collapsed="false">
      <c r="A1" s="1" t="s">
        <v>0</v>
      </c>
      <c r="B1" s="1"/>
    </row>
    <row r="2" customFormat="false" ht="19.5" hidden="false" customHeight="true" outlineLevel="0" collapsed="false">
      <c r="A2" s="1"/>
      <c r="B2" s="1"/>
    </row>
    <row r="3" customFormat="false" ht="18" hidden="false" customHeight="true" outlineLevel="0" collapsed="false">
      <c r="A3" s="2" t="s">
        <v>1</v>
      </c>
      <c r="B3" s="2"/>
    </row>
    <row r="4" customFormat="false" ht="7.5" hidden="false" customHeight="true" outlineLevel="0" collapsed="false"/>
    <row r="5" customFormat="false" ht="21.75" hidden="false" customHeight="true" outlineLevel="0" collapsed="false">
      <c r="B5" s="3" t="s">
        <v>2</v>
      </c>
    </row>
    <row r="6" customFormat="false" ht="63.75" hidden="false" customHeight="true" outlineLevel="0" collapsed="false">
      <c r="B6" s="4" t="s">
        <v>3</v>
      </c>
    </row>
    <row r="7" customFormat="false" ht="7.5" hidden="false" customHeight="true" outlineLevel="0" collapsed="false"/>
    <row r="8" customFormat="false" ht="21.75" hidden="false" customHeight="true" outlineLevel="0" collapsed="false">
      <c r="B8" s="5" t="s">
        <v>4</v>
      </c>
    </row>
    <row r="9" customFormat="false" ht="31.5" hidden="false" customHeight="true" outlineLevel="0" collapsed="false">
      <c r="B9" s="4" t="s">
        <v>5</v>
      </c>
    </row>
    <row r="10" customFormat="false" ht="7.5" hidden="false" customHeight="true" outlineLevel="0" collapsed="false"/>
    <row r="11" customFormat="false" ht="21.75" hidden="false" customHeight="true" outlineLevel="0" collapsed="false">
      <c r="B11" s="5" t="s">
        <v>6</v>
      </c>
    </row>
    <row r="12" customFormat="false" ht="48" hidden="false" customHeight="true" outlineLevel="0" collapsed="false">
      <c r="B12" s="4" t="s">
        <v>7</v>
      </c>
    </row>
    <row r="13" customFormat="false" ht="7.5" hidden="false" customHeight="true" outlineLevel="0" collapsed="false"/>
    <row r="14" customFormat="false" ht="21.75" hidden="false" customHeight="true" outlineLevel="0" collapsed="false">
      <c r="B14" s="5" t="s">
        <v>8</v>
      </c>
    </row>
    <row r="15" customFormat="false" ht="96" hidden="false" customHeight="true" outlineLevel="0" collapsed="false">
      <c r="B15" s="4" t="s">
        <v>9</v>
      </c>
    </row>
    <row r="16" customFormat="false" ht="7.5" hidden="false" customHeight="true" outlineLevel="0" collapsed="false"/>
    <row r="17" customFormat="false" ht="21.75" hidden="false" customHeight="true" outlineLevel="0" collapsed="false">
      <c r="B17" s="5" t="s">
        <v>10</v>
      </c>
    </row>
    <row r="18" customFormat="false" ht="48" hidden="false" customHeight="true" outlineLevel="0" collapsed="false">
      <c r="B18" s="4" t="s">
        <v>11</v>
      </c>
    </row>
    <row r="19" customFormat="false" ht="7.5" hidden="false" customHeight="true" outlineLevel="0" collapsed="false"/>
    <row r="20" customFormat="false" ht="21.75" hidden="false" customHeight="true" outlineLevel="0" collapsed="false">
      <c r="B20" s="5" t="s">
        <v>12</v>
      </c>
    </row>
    <row r="21" customFormat="false" ht="48" hidden="false" customHeight="true" outlineLevel="0" collapsed="false">
      <c r="B21" s="4" t="s">
        <v>13</v>
      </c>
    </row>
    <row r="22" customFormat="false" ht="7.5" hidden="false" customHeight="true" outlineLevel="0" collapsed="false"/>
    <row r="23" customFormat="false" ht="31.5" hidden="false" customHeight="true" outlineLevel="0" collapsed="false">
      <c r="B23" s="4" t="s">
        <v>14</v>
      </c>
    </row>
    <row r="24" customFormat="false" ht="7.5" hidden="false" customHeight="true" outlineLevel="0" collapsed="false"/>
    <row r="26" customFormat="false" ht="21.75" hidden="false" customHeight="true" outlineLevel="0" collapsed="false">
      <c r="B26" s="3" t="s">
        <v>15</v>
      </c>
    </row>
    <row r="27" customFormat="false" ht="19.5" hidden="false" customHeight="true" outlineLevel="0" collapsed="false">
      <c r="A27" s="6" t="s">
        <v>16</v>
      </c>
      <c r="B27" s="7" t="s">
        <v>17</v>
      </c>
    </row>
    <row r="28" customFormat="false" ht="19.5" hidden="false" customHeight="true" outlineLevel="0" collapsed="false">
      <c r="A28" s="8" t="s">
        <v>18</v>
      </c>
      <c r="B28" s="7" t="s">
        <v>19</v>
      </c>
    </row>
    <row r="29" customFormat="false" ht="19.5" hidden="false" customHeight="true" outlineLevel="0" collapsed="false">
      <c r="A29" s="9" t="s">
        <v>20</v>
      </c>
      <c r="B29" s="7" t="s">
        <v>21</v>
      </c>
    </row>
    <row r="30" customFormat="false" ht="19.5" hidden="false" customHeight="true" outlineLevel="0" collapsed="false">
      <c r="A30" s="10" t="s">
        <v>22</v>
      </c>
      <c r="B30" s="7" t="s">
        <v>23</v>
      </c>
    </row>
    <row r="31" customFormat="false" ht="19.5" hidden="false" customHeight="true" outlineLevel="0" collapsed="false">
      <c r="A31" s="11" t="s">
        <v>24</v>
      </c>
      <c r="B31" s="7" t="s">
        <v>25</v>
      </c>
    </row>
    <row r="32" customFormat="false" ht="19.5" hidden="false" customHeight="true" outlineLevel="0" collapsed="false">
      <c r="A32" s="12" t="s">
        <v>26</v>
      </c>
      <c r="B32" s="7" t="s">
        <v>27</v>
      </c>
    </row>
    <row r="33" customFormat="false" ht="19.5" hidden="false" customHeight="true" outlineLevel="0" collapsed="false">
      <c r="A33" s="13" t="s">
        <v>28</v>
      </c>
      <c r="B33" s="7" t="s">
        <v>29</v>
      </c>
    </row>
    <row r="36" customFormat="false" ht="21.75" hidden="false" customHeight="true" outlineLevel="0" collapsed="false">
      <c r="B36" s="3" t="s">
        <v>30</v>
      </c>
    </row>
    <row r="37" customFormat="false" ht="79.5" hidden="false" customHeight="true" outlineLevel="0" collapsed="false">
      <c r="B37" s="4" t="s">
        <v>31</v>
      </c>
    </row>
    <row r="38" customFormat="false" ht="63.75" hidden="false" customHeight="true" outlineLevel="0" collapsed="false">
      <c r="B38" s="4" t="s">
        <v>32</v>
      </c>
    </row>
    <row r="39" customFormat="false" ht="48" hidden="false" customHeight="true" outlineLevel="0" collapsed="false">
      <c r="B39" s="4" t="s">
        <v>33</v>
      </c>
    </row>
    <row r="40" customFormat="false" ht="48" hidden="false" customHeight="true" outlineLevel="0" collapsed="false">
      <c r="B40" s="4" t="s">
        <v>34</v>
      </c>
    </row>
    <row r="41" customFormat="false" ht="48" hidden="false" customHeight="true" outlineLevel="0" collapsed="false">
      <c r="B41" s="4" t="s">
        <v>35</v>
      </c>
    </row>
    <row r="42" customFormat="false" ht="63.75" hidden="false" customHeight="true" outlineLevel="0" collapsed="false">
      <c r="B42" s="4" t="s">
        <v>36</v>
      </c>
    </row>
  </sheetData>
  <mergeCells count="2">
    <mergeCell ref="A1:B2"/>
    <mergeCell ref="A3:B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6A34A"/>
    <pageSetUpPr fitToPage="false"/>
  </sheetPr>
  <dimension ref="A1:C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14"/>
    <col collapsed="false" customWidth="true" hidden="false" outlineLevel="0" max="3" min="3" style="0" width="38"/>
  </cols>
  <sheetData>
    <row r="1" customFormat="false" ht="18" hidden="false" customHeight="true" outlineLevel="0" collapsed="false">
      <c r="A1" s="1" t="s">
        <v>37</v>
      </c>
      <c r="B1" s="1"/>
      <c r="C1" s="1"/>
    </row>
    <row r="2" customFormat="false" ht="18" hidden="false" customHeight="true" outlineLevel="0" collapsed="false">
      <c r="A2" s="1"/>
      <c r="B2" s="1"/>
      <c r="C2" s="1"/>
    </row>
    <row r="3" customFormat="false" ht="7.5" hidden="false" customHeight="true" outlineLevel="0" collapsed="false"/>
    <row r="4" customFormat="false" ht="21.75" hidden="false" customHeight="true" outlineLevel="0" collapsed="false">
      <c r="A4" s="14" t="s">
        <v>38</v>
      </c>
      <c r="B4" s="14"/>
      <c r="C4" s="14"/>
    </row>
    <row r="5" customFormat="false" ht="18" hidden="false" customHeight="true" outlineLevel="0" collapsed="false">
      <c r="A5" s="7" t="s">
        <v>39</v>
      </c>
      <c r="B5" s="15" t="n">
        <v>1295</v>
      </c>
      <c r="C5" s="16" t="s">
        <v>40</v>
      </c>
    </row>
    <row r="6" customFormat="false" ht="18" hidden="false" customHeight="true" outlineLevel="0" collapsed="false">
      <c r="A6" s="7" t="s">
        <v>41</v>
      </c>
      <c r="B6" s="15" t="n">
        <v>181</v>
      </c>
      <c r="C6" s="16" t="s">
        <v>42</v>
      </c>
    </row>
    <row r="7" customFormat="false" ht="18" hidden="false" customHeight="true" outlineLevel="0" collapsed="false">
      <c r="A7" s="17" t="s">
        <v>43</v>
      </c>
      <c r="B7" s="15" t="n">
        <v>125</v>
      </c>
      <c r="C7" s="16" t="s">
        <v>44</v>
      </c>
    </row>
    <row r="8" customFormat="false" ht="18" hidden="false" customHeight="true" outlineLevel="0" collapsed="false">
      <c r="A8" s="17" t="s">
        <v>45</v>
      </c>
      <c r="B8" s="15" t="n">
        <v>1700</v>
      </c>
      <c r="C8" s="16" t="s">
        <v>46</v>
      </c>
    </row>
    <row r="9" customFormat="false" ht="18" hidden="false" customHeight="true" outlineLevel="0" collapsed="false">
      <c r="A9" s="7" t="s">
        <v>47</v>
      </c>
      <c r="B9" s="18" t="n">
        <v>50</v>
      </c>
      <c r="C9" s="16" t="s">
        <v>48</v>
      </c>
    </row>
    <row r="10" customFormat="false" ht="18" hidden="false" customHeight="true" outlineLevel="0" collapsed="false">
      <c r="A10" s="7" t="s">
        <v>49</v>
      </c>
      <c r="B10" s="19" t="n">
        <v>32</v>
      </c>
      <c r="C10" s="16" t="s">
        <v>50</v>
      </c>
    </row>
    <row r="12" customFormat="false" ht="21.75" hidden="false" customHeight="true" outlineLevel="0" collapsed="false">
      <c r="A12" s="14" t="s">
        <v>51</v>
      </c>
      <c r="B12" s="14"/>
      <c r="C12" s="14"/>
    </row>
    <row r="13" customFormat="false" ht="18" hidden="false" customHeight="true" outlineLevel="0" collapsed="false">
      <c r="A13" s="17" t="s">
        <v>52</v>
      </c>
      <c r="B13" s="20" t="n">
        <v>0.085</v>
      </c>
      <c r="C13" s="16" t="s">
        <v>53</v>
      </c>
    </row>
    <row r="14" customFormat="false" ht="18" hidden="false" customHeight="true" outlineLevel="0" collapsed="false">
      <c r="A14" s="7" t="s">
        <v>54</v>
      </c>
      <c r="B14" s="20" t="n">
        <v>0.045</v>
      </c>
      <c r="C14" s="16" t="s">
        <v>55</v>
      </c>
    </row>
    <row r="15" customFormat="false" ht="18" hidden="false" customHeight="true" outlineLevel="0" collapsed="false">
      <c r="A15" s="17" t="s">
        <v>56</v>
      </c>
      <c r="B15" s="21" t="n">
        <v>0.25</v>
      </c>
      <c r="C15" s="16" t="s">
        <v>57</v>
      </c>
    </row>
    <row r="16" customFormat="false" ht="18" hidden="false" customHeight="true" outlineLevel="0" collapsed="false">
      <c r="A16" s="7" t="s">
        <v>58</v>
      </c>
      <c r="B16" s="20" t="n">
        <v>0.01</v>
      </c>
      <c r="C16" s="16" t="s">
        <v>59</v>
      </c>
    </row>
    <row r="17" customFormat="false" ht="18" hidden="false" customHeight="true" outlineLevel="0" collapsed="false">
      <c r="A17" s="7" t="s">
        <v>60</v>
      </c>
      <c r="B17" s="18" t="n">
        <v>4</v>
      </c>
      <c r="C17" s="16" t="s">
        <v>61</v>
      </c>
    </row>
    <row r="18" customFormat="false" ht="18" hidden="false" customHeight="true" outlineLevel="0" collapsed="false">
      <c r="A18" s="17" t="s">
        <v>62</v>
      </c>
      <c r="B18" s="21" t="n">
        <v>0.2</v>
      </c>
      <c r="C18" s="16" t="s">
        <v>63</v>
      </c>
    </row>
    <row r="19" customFormat="false" ht="18" hidden="false" customHeight="true" outlineLevel="0" collapsed="false">
      <c r="A19" s="7" t="s">
        <v>64</v>
      </c>
      <c r="B19" s="18" t="n">
        <v>5</v>
      </c>
      <c r="C19" s="16" t="s">
        <v>65</v>
      </c>
    </row>
    <row r="21" customFormat="false" ht="21.75" hidden="false" customHeight="true" outlineLevel="0" collapsed="false">
      <c r="A21" s="14" t="s">
        <v>66</v>
      </c>
      <c r="B21" s="14"/>
      <c r="C21" s="14"/>
    </row>
    <row r="22" customFormat="false" ht="18" hidden="false" customHeight="true" outlineLevel="0" collapsed="false">
      <c r="A22" s="17" t="s">
        <v>67</v>
      </c>
      <c r="B22" s="15" t="n">
        <v>100</v>
      </c>
      <c r="C22" s="16" t="s">
        <v>68</v>
      </c>
    </row>
    <row r="23" customFormat="false" ht="18" hidden="false" customHeight="true" outlineLevel="0" collapsed="false">
      <c r="A23" s="7" t="s">
        <v>69</v>
      </c>
      <c r="B23" s="19" t="n">
        <v>0.8</v>
      </c>
      <c r="C23" s="16" t="s">
        <v>70</v>
      </c>
    </row>
  </sheetData>
  <mergeCells count="4">
    <mergeCell ref="A1:C2"/>
    <mergeCell ref="A4:C4"/>
    <mergeCell ref="A12:C12"/>
    <mergeCell ref="A21:C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70C0"/>
    <pageSetUpPr fitToPage="false"/>
  </sheetPr>
  <dimension ref="A1:J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6" min="2" style="0" width="12"/>
    <col collapsed="false" customWidth="true" hidden="false" outlineLevel="0" max="10" min="7" style="0" width="14"/>
  </cols>
  <sheetData>
    <row r="1" customFormat="false" ht="18" hidden="false" customHeight="true" outlineLevel="0" collapsed="false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8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7.5" hidden="false" customHeight="true" outlineLevel="0" collapsed="false"/>
    <row r="4" customFormat="false" ht="27.75" hidden="false" customHeight="true" outlineLevel="0" collapsed="false">
      <c r="A4" s="22" t="s">
        <v>72</v>
      </c>
      <c r="B4" s="22" t="s">
        <v>73</v>
      </c>
      <c r="C4" s="22" t="s">
        <v>74</v>
      </c>
      <c r="D4" s="22" t="s">
        <v>75</v>
      </c>
      <c r="E4" s="22" t="s">
        <v>76</v>
      </c>
      <c r="F4" s="22" t="s">
        <v>77</v>
      </c>
      <c r="G4" s="22" t="s">
        <v>78</v>
      </c>
      <c r="H4" s="22" t="s">
        <v>79</v>
      </c>
      <c r="I4" s="22" t="s">
        <v>80</v>
      </c>
      <c r="J4" s="22" t="s">
        <v>81</v>
      </c>
    </row>
    <row r="5" customFormat="false" ht="18" hidden="false" customHeight="true" outlineLevel="0" collapsed="false">
      <c r="A5" s="23" t="n">
        <v>0</v>
      </c>
      <c r="B5" s="24" t="n">
        <f aca="false">Inputs!$B$14+Inputs!$B$16+Inputs!$B$17*A5^3*0.1</f>
        <v>0.055</v>
      </c>
      <c r="C5" s="24" t="n">
        <f aca="false">B5*(1-Inputs!$B$15)</f>
        <v>0.04125</v>
      </c>
      <c r="D5" s="24" t="n">
        <f aca="false">IF(A5=1,0,Inputs!$B$13+(Inputs!$B$13-B5)*A5/(1-A5)*(1-Inputs!$B$15))</f>
        <v>0.085</v>
      </c>
      <c r="E5" s="24" t="n">
        <f aca="false">A5*C5+(1-A5)*D5</f>
        <v>0.085</v>
      </c>
      <c r="F5" s="25" t="n">
        <f aca="false">A5*Inputs!$B$8*B5*Inputs!$B$15</f>
        <v>0</v>
      </c>
      <c r="G5" s="25" t="n">
        <f aca="false">A5*Inputs!$B$8*Inputs!$B$15</f>
        <v>0</v>
      </c>
      <c r="H5" s="24" t="n">
        <f aca="false">Inputs!$B$18*A5^Inputs!$B$19</f>
        <v>0</v>
      </c>
      <c r="I5" s="25" t="n">
        <f aca="false">H5*Inputs!$B$8</f>
        <v>0</v>
      </c>
      <c r="J5" s="26" t="n">
        <f aca="false">Inputs!$B$8+G5-I5</f>
        <v>1700</v>
      </c>
    </row>
    <row r="6" customFormat="false" ht="18" hidden="false" customHeight="true" outlineLevel="0" collapsed="false">
      <c r="A6" s="23" t="n">
        <v>0.05</v>
      </c>
      <c r="B6" s="24" t="n">
        <f aca="false">Inputs!$B$14+Inputs!$B$16+Inputs!$B$17*A6^3*0.1</f>
        <v>0.05505</v>
      </c>
      <c r="C6" s="24" t="n">
        <f aca="false">B6*(1-Inputs!$B$15)</f>
        <v>0.0412875</v>
      </c>
      <c r="D6" s="24" t="n">
        <f aca="false">IF(A6=1,0,Inputs!$B$13+(Inputs!$B$13-B6)*A6/(1-A6)*(1-Inputs!$B$15))</f>
        <v>0.0861822368421053</v>
      </c>
      <c r="E6" s="24" t="n">
        <f aca="false">A6*C6+(1-A6)*D6</f>
        <v>0.0839375</v>
      </c>
      <c r="F6" s="25" t="n">
        <f aca="false">A6*Inputs!$B$8*B6*Inputs!$B$15</f>
        <v>1.1698125</v>
      </c>
      <c r="G6" s="25" t="n">
        <f aca="false">A6*Inputs!$B$8*Inputs!$B$15</f>
        <v>21.25</v>
      </c>
      <c r="H6" s="24" t="n">
        <f aca="false">Inputs!$B$18*A6^Inputs!$B$19</f>
        <v>6.25E-008</v>
      </c>
      <c r="I6" s="25" t="n">
        <f aca="false">H6*Inputs!$B$8</f>
        <v>0.00010625</v>
      </c>
      <c r="J6" s="26" t="n">
        <f aca="false">Inputs!$B$8+G6-I6</f>
        <v>1721.24989375</v>
      </c>
    </row>
    <row r="7" customFormat="false" ht="18" hidden="false" customHeight="true" outlineLevel="0" collapsed="false">
      <c r="A7" s="23" t="n">
        <v>0.1</v>
      </c>
      <c r="B7" s="24" t="n">
        <f aca="false">Inputs!$B$14+Inputs!$B$16+Inputs!$B$17*A7^3*0.1</f>
        <v>0.0554</v>
      </c>
      <c r="C7" s="24" t="n">
        <f aca="false">B7*(1-Inputs!$B$15)</f>
        <v>0.04155</v>
      </c>
      <c r="D7" s="24" t="n">
        <f aca="false">IF(A7=1,0,Inputs!$B$13+(Inputs!$B$13-B7)*A7/(1-A7)*(1-Inputs!$B$15))</f>
        <v>0.0874666666666667</v>
      </c>
      <c r="E7" s="24" t="n">
        <f aca="false">A7*C7+(1-A7)*D7</f>
        <v>0.082875</v>
      </c>
      <c r="F7" s="25" t="n">
        <f aca="false">A7*Inputs!$B$8*B7*Inputs!$B$15</f>
        <v>2.3545</v>
      </c>
      <c r="G7" s="25" t="n">
        <f aca="false">A7*Inputs!$B$8*Inputs!$B$15</f>
        <v>42.5</v>
      </c>
      <c r="H7" s="24" t="n">
        <f aca="false">Inputs!$B$18*A7^Inputs!$B$19</f>
        <v>2E-006</v>
      </c>
      <c r="I7" s="25" t="n">
        <f aca="false">H7*Inputs!$B$8</f>
        <v>0.0034</v>
      </c>
      <c r="J7" s="26" t="n">
        <f aca="false">Inputs!$B$8+G7-I7</f>
        <v>1742.4966</v>
      </c>
    </row>
    <row r="8" customFormat="false" ht="18" hidden="false" customHeight="true" outlineLevel="0" collapsed="false">
      <c r="A8" s="23" t="n">
        <v>0.15</v>
      </c>
      <c r="B8" s="24" t="n">
        <f aca="false">Inputs!$B$14+Inputs!$B$16+Inputs!$B$17*A8^3*0.1</f>
        <v>0.05635</v>
      </c>
      <c r="C8" s="24" t="n">
        <f aca="false">B8*(1-Inputs!$B$15)</f>
        <v>0.0422625</v>
      </c>
      <c r="D8" s="24" t="n">
        <f aca="false">IF(A8=1,0,Inputs!$B$13+(Inputs!$B$13-B8)*A8/(1-A8)*(1-Inputs!$B$15))</f>
        <v>0.0887919117647059</v>
      </c>
      <c r="E8" s="24" t="n">
        <f aca="false">A8*C8+(1-A8)*D8</f>
        <v>0.0818125</v>
      </c>
      <c r="F8" s="25" t="n">
        <f aca="false">A8*Inputs!$B$8*B8*Inputs!$B$15</f>
        <v>3.5923125</v>
      </c>
      <c r="G8" s="25" t="n">
        <f aca="false">A8*Inputs!$B$8*Inputs!$B$15</f>
        <v>63.75</v>
      </c>
      <c r="H8" s="24" t="n">
        <f aca="false">Inputs!$B$18*A8^Inputs!$B$19</f>
        <v>1.51875E-005</v>
      </c>
      <c r="I8" s="25" t="n">
        <f aca="false">H8*Inputs!$B$8</f>
        <v>0.02581875</v>
      </c>
      <c r="J8" s="26" t="n">
        <f aca="false">Inputs!$B$8+G8-I8</f>
        <v>1763.72418125</v>
      </c>
    </row>
    <row r="9" customFormat="false" ht="18" hidden="false" customHeight="true" outlineLevel="0" collapsed="false">
      <c r="A9" s="23" t="n">
        <v>0.2</v>
      </c>
      <c r="B9" s="24" t="n">
        <f aca="false">Inputs!$B$14+Inputs!$B$16+Inputs!$B$17*A9^3*0.1</f>
        <v>0.0582</v>
      </c>
      <c r="C9" s="24" t="n">
        <f aca="false">B9*(1-Inputs!$B$15)</f>
        <v>0.04365</v>
      </c>
      <c r="D9" s="24" t="n">
        <f aca="false">IF(A9=1,0,Inputs!$B$13+(Inputs!$B$13-B9)*A9/(1-A9)*(1-Inputs!$B$15))</f>
        <v>0.090025</v>
      </c>
      <c r="E9" s="24" t="n">
        <f aca="false">A9*C9+(1-A9)*D9</f>
        <v>0.08075</v>
      </c>
      <c r="F9" s="25" t="n">
        <f aca="false">A9*Inputs!$B$8*B9*Inputs!$B$15</f>
        <v>4.947</v>
      </c>
      <c r="G9" s="25" t="n">
        <f aca="false">A9*Inputs!$B$8*Inputs!$B$15</f>
        <v>85</v>
      </c>
      <c r="H9" s="24" t="n">
        <f aca="false">Inputs!$B$18*A9^Inputs!$B$19</f>
        <v>6.4E-005</v>
      </c>
      <c r="I9" s="25" t="n">
        <f aca="false">H9*Inputs!$B$8</f>
        <v>0.1088</v>
      </c>
      <c r="J9" s="26" t="n">
        <f aca="false">Inputs!$B$8+G9-I9</f>
        <v>1784.8912</v>
      </c>
    </row>
    <row r="10" customFormat="false" ht="18" hidden="false" customHeight="true" outlineLevel="0" collapsed="false">
      <c r="A10" s="23" t="n">
        <v>0.25</v>
      </c>
      <c r="B10" s="24" t="n">
        <f aca="false">Inputs!$B$14+Inputs!$B$16+Inputs!$B$17*A10^3*0.1</f>
        <v>0.06125</v>
      </c>
      <c r="C10" s="24" t="n">
        <f aca="false">B10*(1-Inputs!$B$15)</f>
        <v>0.0459375</v>
      </c>
      <c r="D10" s="24" t="n">
        <f aca="false">IF(A10=1,0,Inputs!$B$13+(Inputs!$B$13-B10)*A10/(1-A10)*(1-Inputs!$B$15))</f>
        <v>0.0909375</v>
      </c>
      <c r="E10" s="24" t="n">
        <f aca="false">A10*C10+(1-A10)*D10</f>
        <v>0.0796875</v>
      </c>
      <c r="F10" s="25" t="n">
        <f aca="false">A10*Inputs!$B$8*B10*Inputs!$B$15</f>
        <v>6.5078125</v>
      </c>
      <c r="G10" s="25" t="n">
        <f aca="false">A10*Inputs!$B$8*Inputs!$B$15</f>
        <v>106.25</v>
      </c>
      <c r="H10" s="24" t="n">
        <f aca="false">Inputs!$B$18*A10^Inputs!$B$19</f>
        <v>0.0001953125</v>
      </c>
      <c r="I10" s="25" t="n">
        <f aca="false">H10*Inputs!$B$8</f>
        <v>0.33203125</v>
      </c>
      <c r="J10" s="26" t="n">
        <f aca="false">Inputs!$B$8+G10-I10</f>
        <v>1805.91796875</v>
      </c>
    </row>
    <row r="11" customFormat="false" ht="18" hidden="false" customHeight="true" outlineLevel="0" collapsed="false">
      <c r="A11" s="23" t="n">
        <v>0.3</v>
      </c>
      <c r="B11" s="24" t="n">
        <f aca="false">Inputs!$B$14+Inputs!$B$16+Inputs!$B$17*A11^3*0.1</f>
        <v>0.0658</v>
      </c>
      <c r="C11" s="24" t="n">
        <f aca="false">B11*(1-Inputs!$B$15)</f>
        <v>0.04935</v>
      </c>
      <c r="D11" s="24" t="n">
        <f aca="false">IF(A11=1,0,Inputs!$B$13+(Inputs!$B$13-B11)*A11/(1-A11)*(1-Inputs!$B$15))</f>
        <v>0.0911714285714286</v>
      </c>
      <c r="E11" s="24" t="n">
        <f aca="false">A11*C11+(1-A11)*D11</f>
        <v>0.078625</v>
      </c>
      <c r="F11" s="25" t="n">
        <f aca="false">A11*Inputs!$B$8*B11*Inputs!$B$15</f>
        <v>8.3895</v>
      </c>
      <c r="G11" s="25" t="n">
        <f aca="false">A11*Inputs!$B$8*Inputs!$B$15</f>
        <v>127.5</v>
      </c>
      <c r="H11" s="24" t="n">
        <f aca="false">Inputs!$B$18*A11^Inputs!$B$19</f>
        <v>0.000486</v>
      </c>
      <c r="I11" s="25" t="n">
        <f aca="false">H11*Inputs!$B$8</f>
        <v>0.8262</v>
      </c>
      <c r="J11" s="26" t="n">
        <f aca="false">Inputs!$B$8+G11-I11</f>
        <v>1826.6738</v>
      </c>
    </row>
    <row r="12" customFormat="false" ht="18" hidden="false" customHeight="true" outlineLevel="0" collapsed="false">
      <c r="A12" s="23" t="n">
        <v>0.35</v>
      </c>
      <c r="B12" s="24" t="n">
        <f aca="false">Inputs!$B$14+Inputs!$B$16+Inputs!$B$17*A12^3*0.1</f>
        <v>0.07215</v>
      </c>
      <c r="C12" s="24" t="n">
        <f aca="false">B12*(1-Inputs!$B$15)</f>
        <v>0.0541125</v>
      </c>
      <c r="D12" s="24" t="n">
        <f aca="false">IF(A12=1,0,Inputs!$B$13+(Inputs!$B$13-B12)*A12/(1-A12)*(1-Inputs!$B$15))</f>
        <v>0.0901894230769231</v>
      </c>
      <c r="E12" s="24" t="n">
        <f aca="false">A12*C12+(1-A12)*D12</f>
        <v>0.0775625</v>
      </c>
      <c r="F12" s="25" t="n">
        <f aca="false">A12*Inputs!$B$8*B12*Inputs!$B$15</f>
        <v>10.7323125</v>
      </c>
      <c r="G12" s="25" t="n">
        <f aca="false">A12*Inputs!$B$8*Inputs!$B$15</f>
        <v>148.75</v>
      </c>
      <c r="H12" s="24" t="n">
        <f aca="false">Inputs!$B$18*A12^Inputs!$B$19</f>
        <v>0.0010504375</v>
      </c>
      <c r="I12" s="25" t="n">
        <f aca="false">H12*Inputs!$B$8</f>
        <v>1.78574375</v>
      </c>
      <c r="J12" s="26" t="n">
        <f aca="false">Inputs!$B$8+G12-I12</f>
        <v>1846.96425625</v>
      </c>
    </row>
    <row r="13" customFormat="false" ht="18" hidden="false" customHeight="true" outlineLevel="0" collapsed="false">
      <c r="A13" s="23" t="n">
        <v>0.4</v>
      </c>
      <c r="B13" s="24" t="n">
        <f aca="false">Inputs!$B$14+Inputs!$B$16+Inputs!$B$17*A13^3*0.1</f>
        <v>0.0806</v>
      </c>
      <c r="C13" s="24" t="n">
        <f aca="false">B13*(1-Inputs!$B$15)</f>
        <v>0.06045</v>
      </c>
      <c r="D13" s="24" t="n">
        <f aca="false">IF(A13=1,0,Inputs!$B$13+(Inputs!$B$13-B13)*A13/(1-A13)*(1-Inputs!$B$15))</f>
        <v>0.0872</v>
      </c>
      <c r="E13" s="24" t="n">
        <f aca="false">A13*C13+(1-A13)*D13</f>
        <v>0.0765</v>
      </c>
      <c r="F13" s="25" t="n">
        <f aca="false">A13*Inputs!$B$8*B13*Inputs!$B$15</f>
        <v>13.702</v>
      </c>
      <c r="G13" s="25" t="n">
        <f aca="false">A13*Inputs!$B$8*Inputs!$B$15</f>
        <v>170</v>
      </c>
      <c r="H13" s="24" t="n">
        <f aca="false">Inputs!$B$18*A13^Inputs!$B$19</f>
        <v>0.002048</v>
      </c>
      <c r="I13" s="25" t="n">
        <f aca="false">H13*Inputs!$B$8</f>
        <v>3.4816</v>
      </c>
      <c r="J13" s="26" t="n">
        <f aca="false">Inputs!$B$8+G13-I13</f>
        <v>1866.5184</v>
      </c>
    </row>
    <row r="14" customFormat="false" ht="18" hidden="false" customHeight="true" outlineLevel="0" collapsed="false">
      <c r="A14" s="23" t="n">
        <v>0.45</v>
      </c>
      <c r="B14" s="24" t="n">
        <f aca="false">Inputs!$B$14+Inputs!$B$16+Inputs!$B$17*A14^3*0.1</f>
        <v>0.09145</v>
      </c>
      <c r="C14" s="24" t="n">
        <f aca="false">B14*(1-Inputs!$B$15)</f>
        <v>0.0685875</v>
      </c>
      <c r="D14" s="24" t="n">
        <f aca="false">IF(A14=1,0,Inputs!$B$13+(Inputs!$B$13-B14)*A14/(1-A14)*(1-Inputs!$B$15))</f>
        <v>0.0810420454545455</v>
      </c>
      <c r="E14" s="24" t="n">
        <f aca="false">A14*C14+(1-A14)*D14</f>
        <v>0.0754375</v>
      </c>
      <c r="F14" s="25" t="n">
        <f aca="false">A14*Inputs!$B$8*B14*Inputs!$B$15</f>
        <v>17.4898125</v>
      </c>
      <c r="G14" s="25" t="n">
        <f aca="false">A14*Inputs!$B$8*Inputs!$B$15</f>
        <v>191.25</v>
      </c>
      <c r="H14" s="24" t="n">
        <f aca="false">Inputs!$B$18*A14^Inputs!$B$19</f>
        <v>0.0036905625</v>
      </c>
      <c r="I14" s="25" t="n">
        <f aca="false">H14*Inputs!$B$8</f>
        <v>6.27395625</v>
      </c>
      <c r="J14" s="26" t="n">
        <f aca="false">Inputs!$B$8+G14-I14</f>
        <v>1884.97604375</v>
      </c>
    </row>
    <row r="15" customFormat="false" ht="18" hidden="false" customHeight="true" outlineLevel="0" collapsed="false">
      <c r="A15" s="23" t="n">
        <v>0.5</v>
      </c>
      <c r="B15" s="24" t="n">
        <f aca="false">Inputs!$B$14+Inputs!$B$16+Inputs!$B$17*A15^3*0.1</f>
        <v>0.105</v>
      </c>
      <c r="C15" s="24" t="n">
        <f aca="false">B15*(1-Inputs!$B$15)</f>
        <v>0.07875</v>
      </c>
      <c r="D15" s="24" t="n">
        <f aca="false">IF(A15=1,0,Inputs!$B$13+(Inputs!$B$13-B15)*A15/(1-A15)*(1-Inputs!$B$15))</f>
        <v>0.07</v>
      </c>
      <c r="E15" s="24" t="n">
        <f aca="false">A15*C15+(1-A15)*D15</f>
        <v>0.074375</v>
      </c>
      <c r="F15" s="25" t="n">
        <f aca="false">A15*Inputs!$B$8*B15*Inputs!$B$15</f>
        <v>22.3125</v>
      </c>
      <c r="G15" s="25" t="n">
        <f aca="false">A15*Inputs!$B$8*Inputs!$B$15</f>
        <v>212.5</v>
      </c>
      <c r="H15" s="24" t="n">
        <f aca="false">Inputs!$B$18*A15^Inputs!$B$19</f>
        <v>0.00625</v>
      </c>
      <c r="I15" s="25" t="n">
        <f aca="false">H15*Inputs!$B$8</f>
        <v>10.625</v>
      </c>
      <c r="J15" s="26" t="n">
        <f aca="false">Inputs!$B$8+G15-I15</f>
        <v>1901.875</v>
      </c>
    </row>
    <row r="16" customFormat="false" ht="18" hidden="false" customHeight="true" outlineLevel="0" collapsed="false">
      <c r="A16" s="23" t="n">
        <v>0.55</v>
      </c>
      <c r="B16" s="24" t="n">
        <f aca="false">Inputs!$B$14+Inputs!$B$16+Inputs!$B$17*A16^3*0.1</f>
        <v>0.12155</v>
      </c>
      <c r="C16" s="24" t="n">
        <f aca="false">B16*(1-Inputs!$B$15)</f>
        <v>0.0911625</v>
      </c>
      <c r="D16" s="24" t="n">
        <f aca="false">IF(A16=1,0,Inputs!$B$13+(Inputs!$B$13-B16)*A16/(1-A16)*(1-Inputs!$B$15))</f>
        <v>0.0514958333333333</v>
      </c>
      <c r="E16" s="24" t="n">
        <f aca="false">A16*C16+(1-A16)*D16</f>
        <v>0.0733125</v>
      </c>
      <c r="F16" s="25" t="n">
        <f aca="false">A16*Inputs!$B$8*B16*Inputs!$B$15</f>
        <v>28.4123125</v>
      </c>
      <c r="G16" s="25" t="n">
        <f aca="false">A16*Inputs!$B$8*Inputs!$B$15</f>
        <v>233.75</v>
      </c>
      <c r="H16" s="24" t="n">
        <f aca="false">Inputs!$B$18*A16^Inputs!$B$19</f>
        <v>0.0100656875</v>
      </c>
      <c r="I16" s="25" t="n">
        <f aca="false">H16*Inputs!$B$8</f>
        <v>17.11166875</v>
      </c>
      <c r="J16" s="26" t="n">
        <f aca="false">Inputs!$B$8+G16-I16</f>
        <v>1916.63833125</v>
      </c>
    </row>
    <row r="17" customFormat="false" ht="18" hidden="false" customHeight="true" outlineLevel="0" collapsed="false">
      <c r="A17" s="23" t="n">
        <v>0.6</v>
      </c>
      <c r="B17" s="24" t="n">
        <f aca="false">Inputs!$B$14+Inputs!$B$16+Inputs!$B$17*A17^3*0.1</f>
        <v>0.1414</v>
      </c>
      <c r="C17" s="24" t="n">
        <f aca="false">B17*(1-Inputs!$B$15)</f>
        <v>0.10605</v>
      </c>
      <c r="D17" s="24" t="n">
        <f aca="false">IF(A17=1,0,Inputs!$B$13+(Inputs!$B$13-B17)*A17/(1-A17)*(1-Inputs!$B$15))</f>
        <v>0.02155</v>
      </c>
      <c r="E17" s="24" t="n">
        <f aca="false">A17*C17+(1-A17)*D17</f>
        <v>0.07225</v>
      </c>
      <c r="F17" s="25" t="n">
        <f aca="false">A17*Inputs!$B$8*B17*Inputs!$B$15</f>
        <v>36.057</v>
      </c>
      <c r="G17" s="25" t="n">
        <f aca="false">A17*Inputs!$B$8*Inputs!$B$15</f>
        <v>255</v>
      </c>
      <c r="H17" s="24" t="n">
        <f aca="false">Inputs!$B$18*A17^Inputs!$B$19</f>
        <v>0.015552</v>
      </c>
      <c r="I17" s="25" t="n">
        <f aca="false">H17*Inputs!$B$8</f>
        <v>26.4384</v>
      </c>
      <c r="J17" s="26" t="n">
        <f aca="false">Inputs!$B$8+G17-I17</f>
        <v>1928.5616</v>
      </c>
    </row>
    <row r="18" customFormat="false" ht="18" hidden="false" customHeight="true" outlineLevel="0" collapsed="false">
      <c r="A18" s="23" t="n">
        <v>0.65</v>
      </c>
      <c r="B18" s="24" t="n">
        <f aca="false">Inputs!$B$14+Inputs!$B$16+Inputs!$B$17*A18^3*0.1</f>
        <v>0.16485</v>
      </c>
      <c r="C18" s="24" t="n">
        <f aca="false">B18*(1-Inputs!$B$15)</f>
        <v>0.1236375</v>
      </c>
      <c r="D18" s="24" t="n">
        <f aca="false">IF(A18=1,0,Inputs!$B$13+(Inputs!$B$13-B18)*A18/(1-A18)*(1-Inputs!$B$15))</f>
        <v>-0.0262196428571429</v>
      </c>
      <c r="E18" s="24" t="n">
        <f aca="false">A18*C18+(1-A18)*D18</f>
        <v>0.0711875</v>
      </c>
      <c r="F18" s="25" t="n">
        <f aca="false">A18*Inputs!$B$8*B18*Inputs!$B$15</f>
        <v>45.5398125</v>
      </c>
      <c r="G18" s="25" t="n">
        <f aca="false">A18*Inputs!$B$8*Inputs!$B$15</f>
        <v>276.25</v>
      </c>
      <c r="H18" s="24" t="n">
        <f aca="false">Inputs!$B$18*A18^Inputs!$B$19</f>
        <v>0.0232058125</v>
      </c>
      <c r="I18" s="25" t="n">
        <f aca="false">H18*Inputs!$B$8</f>
        <v>39.44988125</v>
      </c>
      <c r="J18" s="26" t="n">
        <f aca="false">Inputs!$B$8+G18-I18</f>
        <v>1936.80011875</v>
      </c>
    </row>
    <row r="19" customFormat="false" ht="18" hidden="false" customHeight="true" outlineLevel="0" collapsed="false">
      <c r="A19" s="23" t="n">
        <v>0.7</v>
      </c>
      <c r="B19" s="24" t="n">
        <f aca="false">Inputs!$B$14+Inputs!$B$16+Inputs!$B$17*A19^3*0.1</f>
        <v>0.1922</v>
      </c>
      <c r="C19" s="24" t="n">
        <f aca="false">B19*(1-Inputs!$B$15)</f>
        <v>0.14415</v>
      </c>
      <c r="D19" s="24" t="n">
        <f aca="false">IF(A19=1,0,Inputs!$B$13+(Inputs!$B$13-B19)*A19/(1-A19)*(1-Inputs!$B$15))</f>
        <v>-0.1026</v>
      </c>
      <c r="E19" s="24" t="n">
        <f aca="false">A19*C19+(1-A19)*D19</f>
        <v>0.070125</v>
      </c>
      <c r="F19" s="25" t="n">
        <f aca="false">A19*Inputs!$B$8*B19*Inputs!$B$15</f>
        <v>57.1795</v>
      </c>
      <c r="G19" s="25" t="n">
        <f aca="false">A19*Inputs!$B$8*Inputs!$B$15</f>
        <v>297.5</v>
      </c>
      <c r="H19" s="24" t="n">
        <f aca="false">Inputs!$B$18*A19^Inputs!$B$19</f>
        <v>0.033614</v>
      </c>
      <c r="I19" s="25" t="n">
        <f aca="false">H19*Inputs!$B$8</f>
        <v>57.1438</v>
      </c>
      <c r="J19" s="26" t="n">
        <f aca="false">Inputs!$B$8+G19-I19</f>
        <v>1940.3562</v>
      </c>
    </row>
    <row r="20" customFormat="false" ht="18" hidden="false" customHeight="true" outlineLevel="0" collapsed="false">
      <c r="A20" s="23" t="n">
        <v>0.75</v>
      </c>
      <c r="B20" s="24" t="n">
        <f aca="false">Inputs!$B$14+Inputs!$B$16+Inputs!$B$17*A20^3*0.1</f>
        <v>0.22375</v>
      </c>
      <c r="C20" s="24" t="n">
        <f aca="false">B20*(1-Inputs!$B$15)</f>
        <v>0.1678125</v>
      </c>
      <c r="D20" s="24" t="n">
        <f aca="false">IF(A20=1,0,Inputs!$B$13+(Inputs!$B$13-B20)*A20/(1-A20)*(1-Inputs!$B$15))</f>
        <v>-0.2271875</v>
      </c>
      <c r="E20" s="24" t="n">
        <f aca="false">A20*C20+(1-A20)*D20</f>
        <v>0.0690625</v>
      </c>
      <c r="F20" s="25" t="n">
        <f aca="false">A20*Inputs!$B$8*B20*Inputs!$B$15</f>
        <v>71.3203125</v>
      </c>
      <c r="G20" s="25" t="n">
        <f aca="false">A20*Inputs!$B$8*Inputs!$B$15</f>
        <v>318.75</v>
      </c>
      <c r="H20" s="24" t="n">
        <f aca="false">Inputs!$B$18*A20^Inputs!$B$19</f>
        <v>0.0474609375</v>
      </c>
      <c r="I20" s="25" t="n">
        <f aca="false">H20*Inputs!$B$8</f>
        <v>80.68359375</v>
      </c>
      <c r="J20" s="26" t="n">
        <f aca="false">Inputs!$B$8+G20-I20</f>
        <v>1938.06640625</v>
      </c>
    </row>
    <row r="21" customFormat="false" ht="18" hidden="false" customHeight="true" outlineLevel="0" collapsed="false">
      <c r="A21" s="23" t="n">
        <v>0.8</v>
      </c>
      <c r="B21" s="24" t="n">
        <f aca="false">Inputs!$B$14+Inputs!$B$16+Inputs!$B$17*A21^3*0.1</f>
        <v>0.2598</v>
      </c>
      <c r="C21" s="24" t="n">
        <f aca="false">B21*(1-Inputs!$B$15)</f>
        <v>0.19485</v>
      </c>
      <c r="D21" s="24" t="n">
        <f aca="false">IF(A21=1,0,Inputs!$B$13+(Inputs!$B$13-B21)*A21/(1-A21)*(1-Inputs!$B$15))</f>
        <v>-0.4394</v>
      </c>
      <c r="E21" s="24" t="n">
        <f aca="false">A21*C21+(1-A21)*D21</f>
        <v>0.068</v>
      </c>
      <c r="F21" s="25" t="n">
        <f aca="false">A21*Inputs!$B$8*B21*Inputs!$B$15</f>
        <v>88.332</v>
      </c>
      <c r="G21" s="25" t="n">
        <f aca="false">A21*Inputs!$B$8*Inputs!$B$15</f>
        <v>340</v>
      </c>
      <c r="H21" s="24" t="n">
        <f aca="false">Inputs!$B$18*A21^Inputs!$B$19</f>
        <v>0.065536</v>
      </c>
      <c r="I21" s="25" t="n">
        <f aca="false">H21*Inputs!$B$8</f>
        <v>111.4112</v>
      </c>
      <c r="J21" s="26" t="n">
        <f aca="false">Inputs!$B$8+G21-I21</f>
        <v>1928.5888</v>
      </c>
    </row>
    <row r="23" customFormat="false" ht="24" hidden="false" customHeight="true" outlineLevel="0" collapsed="false">
      <c r="A23" s="14" t="s">
        <v>82</v>
      </c>
      <c r="B23" s="14"/>
      <c r="C23" s="14"/>
      <c r="D23" s="27" t="n">
        <f aca="false">INDEX(A5:A21,MATCH(MAX(J5:J21),J5:J21,0))</f>
        <v>0.7</v>
      </c>
      <c r="E23" s="28" t="s">
        <v>83</v>
      </c>
      <c r="F23" s="29" t="n">
        <f aca="false">MIN(E5:E21)</f>
        <v>0.068</v>
      </c>
      <c r="G23" s="28" t="s">
        <v>84</v>
      </c>
      <c r="H23" s="30" t="n">
        <f aca="false">MAX(J5:J21)</f>
        <v>1940.3562</v>
      </c>
      <c r="I23" s="30"/>
      <c r="J23" s="31" t="s">
        <v>85</v>
      </c>
    </row>
    <row r="25" customFormat="false" ht="55.5" hidden="false" customHeight="true" outlineLevel="0" collapsed="false">
      <c r="A25" s="32" t="s">
        <v>86</v>
      </c>
      <c r="B25" s="32"/>
      <c r="C25" s="32"/>
      <c r="D25" s="32"/>
      <c r="E25" s="32"/>
      <c r="F25" s="32"/>
      <c r="G25" s="32"/>
      <c r="H25" s="32"/>
      <c r="I25" s="32"/>
      <c r="J25" s="32"/>
    </row>
  </sheetData>
  <mergeCells count="4">
    <mergeCell ref="A1:J2"/>
    <mergeCell ref="A23:C23"/>
    <mergeCell ref="H23:I23"/>
    <mergeCell ref="A25:J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6B35"/>
    <pageSetUpPr fitToPage="false"/>
  </sheetPr>
  <dimension ref="A1:E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4" min="2" style="0" width="14"/>
    <col collapsed="false" customWidth="true" hidden="false" outlineLevel="0" max="5" min="5" style="0" width="28"/>
  </cols>
  <sheetData>
    <row r="1" customFormat="false" ht="18" hidden="false" customHeight="true" outlineLevel="0" collapsed="false">
      <c r="A1" s="1" t="s">
        <v>87</v>
      </c>
      <c r="B1" s="1"/>
      <c r="C1" s="1"/>
      <c r="D1" s="1"/>
      <c r="E1" s="1"/>
    </row>
    <row r="2" customFormat="false" ht="18" hidden="false" customHeight="true" outlineLevel="0" collapsed="false">
      <c r="A2" s="1"/>
      <c r="B2" s="1"/>
      <c r="C2" s="1"/>
      <c r="D2" s="1"/>
      <c r="E2" s="1"/>
    </row>
    <row r="3" customFormat="false" ht="7.5" hidden="false" customHeight="true" outlineLevel="0" collapsed="false"/>
    <row r="4" customFormat="false" ht="21.75" hidden="false" customHeight="true" outlineLevel="0" collapsed="false">
      <c r="A4" s="33" t="s">
        <v>88</v>
      </c>
      <c r="B4" s="22" t="s">
        <v>89</v>
      </c>
      <c r="C4" s="22" t="s">
        <v>90</v>
      </c>
      <c r="D4" s="22" t="s">
        <v>91</v>
      </c>
      <c r="E4" s="33" t="s">
        <v>92</v>
      </c>
    </row>
    <row r="5" customFormat="false" ht="18" hidden="false" customHeight="true" outlineLevel="0" collapsed="false">
      <c r="A5" s="17" t="s">
        <v>67</v>
      </c>
      <c r="B5" s="34" t="n">
        <f aca="false">Inputs!$B$22</f>
        <v>100</v>
      </c>
      <c r="C5" s="34" t="n">
        <f aca="false">Inputs!$B$22</f>
        <v>100</v>
      </c>
      <c r="D5" s="34" t="n">
        <f aca="false">Inputs!$B$22</f>
        <v>100</v>
      </c>
      <c r="E5" s="16" t="s">
        <v>93</v>
      </c>
    </row>
    <row r="6" customFormat="false" ht="18" hidden="false" customHeight="true" outlineLevel="0" collapsed="false">
      <c r="A6" s="7" t="s">
        <v>94</v>
      </c>
      <c r="B6" s="23" t="n">
        <v>0.8</v>
      </c>
      <c r="C6" s="23" t="n">
        <v>0.2</v>
      </c>
      <c r="D6" s="23" t="n">
        <v>0.5</v>
      </c>
      <c r="E6" s="16" t="s">
        <v>95</v>
      </c>
    </row>
    <row r="7" customFormat="false" ht="18" hidden="false" customHeight="true" outlineLevel="0" collapsed="false">
      <c r="A7" s="7" t="s">
        <v>96</v>
      </c>
      <c r="B7" s="35" t="n">
        <f aca="false">1-B6</f>
        <v>0.2</v>
      </c>
      <c r="C7" s="35" t="n">
        <f aca="false">1-C6</f>
        <v>0.8</v>
      </c>
      <c r="D7" s="35" t="n">
        <f aca="false">1-D6</f>
        <v>0.5</v>
      </c>
      <c r="E7" s="16" t="s">
        <v>97</v>
      </c>
    </row>
    <row r="9" customFormat="false" ht="21.75" hidden="false" customHeight="true" outlineLevel="0" collapsed="false">
      <c r="A9" s="14" t="s">
        <v>98</v>
      </c>
      <c r="B9" s="14"/>
      <c r="C9" s="14"/>
      <c r="D9" s="14"/>
      <c r="E9" s="14"/>
    </row>
    <row r="10" customFormat="false" ht="18" hidden="false" customHeight="true" outlineLevel="0" collapsed="false">
      <c r="A10" s="7" t="s">
        <v>99</v>
      </c>
      <c r="B10" s="25" t="n">
        <f aca="false">B5*B6</f>
        <v>80</v>
      </c>
      <c r="C10" s="25" t="n">
        <f aca="false">C5*C6</f>
        <v>20</v>
      </c>
      <c r="D10" s="25" t="n">
        <f aca="false">D5*D6</f>
        <v>50</v>
      </c>
      <c r="E10" s="16" t="s">
        <v>100</v>
      </c>
    </row>
    <row r="11" customFormat="false" ht="18" hidden="false" customHeight="true" outlineLevel="0" collapsed="false">
      <c r="A11" s="17" t="s">
        <v>101</v>
      </c>
      <c r="B11" s="36" t="n">
        <f aca="false">B10/Inputs!$B$9</f>
        <v>1.6</v>
      </c>
      <c r="C11" s="36" t="n">
        <f aca="false">C10/Inputs!$B$9</f>
        <v>0.4</v>
      </c>
      <c r="D11" s="36" t="n">
        <f aca="false">D10/Inputs!$B$9</f>
        <v>1</v>
      </c>
      <c r="E11" s="16" t="s">
        <v>102</v>
      </c>
    </row>
    <row r="12" customFormat="false" ht="18" hidden="false" customHeight="true" outlineLevel="0" collapsed="false">
      <c r="A12" s="17" t="s">
        <v>103</v>
      </c>
      <c r="B12" s="24" t="n">
        <f aca="false">B11/Inputs!$B$10</f>
        <v>0.05</v>
      </c>
      <c r="C12" s="24" t="n">
        <f aca="false">C11/Inputs!$B$10</f>
        <v>0.0125</v>
      </c>
      <c r="D12" s="24" t="n">
        <f aca="false">D11/Inputs!$B$10</f>
        <v>0.03125</v>
      </c>
      <c r="E12" s="16" t="s">
        <v>104</v>
      </c>
    </row>
    <row r="14" customFormat="false" ht="21.75" hidden="false" customHeight="true" outlineLevel="0" collapsed="false">
      <c r="A14" s="14" t="s">
        <v>105</v>
      </c>
      <c r="B14" s="14"/>
      <c r="C14" s="14"/>
      <c r="D14" s="14"/>
      <c r="E14" s="14"/>
    </row>
    <row r="15" customFormat="false" ht="18" hidden="false" customHeight="true" outlineLevel="0" collapsed="false">
      <c r="A15" s="7" t="s">
        <v>106</v>
      </c>
      <c r="B15" s="25" t="n">
        <f aca="false">B5*B7</f>
        <v>20</v>
      </c>
      <c r="C15" s="25" t="n">
        <f aca="false">C5*C7</f>
        <v>80</v>
      </c>
      <c r="D15" s="25" t="n">
        <f aca="false">D5*D7</f>
        <v>50</v>
      </c>
      <c r="E15" s="16" t="s">
        <v>107</v>
      </c>
    </row>
    <row r="16" customFormat="false" ht="18" hidden="false" customHeight="true" outlineLevel="0" collapsed="false">
      <c r="A16" s="7" t="s">
        <v>108</v>
      </c>
      <c r="B16" s="37" t="n">
        <f aca="false">B15/Inputs!$B$10</f>
        <v>0.625</v>
      </c>
      <c r="C16" s="37" t="n">
        <f aca="false">C15/Inputs!$B$10</f>
        <v>2.5</v>
      </c>
      <c r="D16" s="37" t="n">
        <f aca="false">D15/Inputs!$B$10</f>
        <v>1.5625</v>
      </c>
      <c r="E16" s="16" t="s">
        <v>109</v>
      </c>
    </row>
    <row r="17" customFormat="false" ht="18" hidden="false" customHeight="true" outlineLevel="0" collapsed="false">
      <c r="A17" s="17" t="s">
        <v>110</v>
      </c>
      <c r="B17" s="24" t="n">
        <f aca="false">B16/Inputs!$B$9</f>
        <v>0.0125</v>
      </c>
      <c r="C17" s="24" t="n">
        <f aca="false">C16/Inputs!$B$9</f>
        <v>0.05</v>
      </c>
      <c r="D17" s="24" t="n">
        <f aca="false">D16/Inputs!$B$9</f>
        <v>0.03125</v>
      </c>
      <c r="E17" s="16" t="s">
        <v>111</v>
      </c>
    </row>
    <row r="19" customFormat="false" ht="21.75" hidden="false" customHeight="true" outlineLevel="0" collapsed="false">
      <c r="A19" s="14" t="s">
        <v>112</v>
      </c>
      <c r="B19" s="14"/>
      <c r="C19" s="14"/>
      <c r="D19" s="14"/>
      <c r="E19" s="14"/>
    </row>
    <row r="20" customFormat="false" ht="18" hidden="false" customHeight="true" outlineLevel="0" collapsed="false">
      <c r="A20" s="7" t="s">
        <v>113</v>
      </c>
      <c r="B20" s="34" t="n">
        <f aca="false">B5</f>
        <v>100</v>
      </c>
      <c r="C20" s="34" t="n">
        <f aca="false">C5</f>
        <v>100</v>
      </c>
      <c r="D20" s="34" t="n">
        <f aca="false">D5</f>
        <v>100</v>
      </c>
      <c r="E20" s="16" t="s">
        <v>114</v>
      </c>
    </row>
    <row r="21" customFormat="false" ht="24" hidden="false" customHeight="true" outlineLevel="0" collapsed="false">
      <c r="A21" s="38" t="s">
        <v>115</v>
      </c>
      <c r="B21" s="29" t="n">
        <f aca="false">B5/(Inputs!$B$9*Inputs!$B$10)</f>
        <v>0.0625</v>
      </c>
      <c r="C21" s="29" t="n">
        <f aca="false">C5/(Inputs!$B$9*Inputs!$B$10)</f>
        <v>0.0625</v>
      </c>
      <c r="D21" s="29" t="n">
        <f aca="false">D5/(Inputs!$B$9*Inputs!$B$10)</f>
        <v>0.0625</v>
      </c>
      <c r="E21" s="16" t="s">
        <v>116</v>
      </c>
    </row>
    <row r="23" customFormat="false" ht="60" hidden="false" customHeight="true" outlineLevel="0" collapsed="false">
      <c r="A23" s="32" t="s">
        <v>117</v>
      </c>
      <c r="B23" s="32"/>
      <c r="C23" s="32"/>
      <c r="D23" s="32"/>
      <c r="E23" s="32"/>
    </row>
  </sheetData>
  <mergeCells count="5">
    <mergeCell ref="A1:E2"/>
    <mergeCell ref="A9:E9"/>
    <mergeCell ref="A14:E14"/>
    <mergeCell ref="A19:E19"/>
    <mergeCell ref="A23:E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C27B0"/>
    <pageSetUpPr fitToPage="false"/>
  </sheetPr>
  <dimension ref="A1:G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7" min="2" style="0" width="13"/>
  </cols>
  <sheetData>
    <row r="1" customFormat="false" ht="18" hidden="false" customHeight="true" outlineLevel="0" collapsed="false">
      <c r="A1" s="1" t="s">
        <v>118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1"/>
      <c r="B2" s="1"/>
      <c r="C2" s="1"/>
      <c r="D2" s="1"/>
      <c r="E2" s="1"/>
      <c r="F2" s="1"/>
      <c r="G2" s="1"/>
    </row>
    <row r="3" customFormat="false" ht="7.5" hidden="false" customHeight="true" outlineLevel="0" collapsed="false"/>
    <row r="4" customFormat="false" ht="21.75" hidden="false" customHeight="true" outlineLevel="0" collapsed="false">
      <c r="A4" s="14" t="s">
        <v>119</v>
      </c>
      <c r="B4" s="14"/>
      <c r="C4" s="14"/>
      <c r="D4" s="14"/>
      <c r="E4" s="14"/>
      <c r="F4" s="14"/>
      <c r="G4" s="14"/>
    </row>
    <row r="5" customFormat="false" ht="21.75" hidden="false" customHeight="true" outlineLevel="0" collapsed="false">
      <c r="A5" s="11" t="s">
        <v>120</v>
      </c>
      <c r="B5" s="39" t="n">
        <v>2.5</v>
      </c>
      <c r="C5" s="39" t="n">
        <v>3.5</v>
      </c>
      <c r="D5" s="39" t="n">
        <v>5</v>
      </c>
      <c r="E5" s="39" t="n">
        <v>6.5</v>
      </c>
      <c r="F5" s="39" t="n">
        <v>8</v>
      </c>
      <c r="G5" s="39" t="n">
        <v>10</v>
      </c>
    </row>
    <row r="6" customFormat="false" ht="21.75" hidden="false" customHeight="true" outlineLevel="0" collapsed="false">
      <c r="A6" s="40" t="n">
        <v>0.1</v>
      </c>
      <c r="B6" s="35" t="n">
        <f aca="false">MIN(0.8,(Inputs!$B$15/($A6*B$5))^(1/(B$5-1)))</f>
        <v>0.8</v>
      </c>
      <c r="C6" s="35" t="n">
        <f aca="false">MIN(0.8,(Inputs!$B$15/($A6*C$5))^(1/(C$5-1)))</f>
        <v>0.8</v>
      </c>
      <c r="D6" s="35" t="n">
        <f aca="false">MIN(0.8,(Inputs!$B$15/($A6*D$5))^(1/(D$5-1)))</f>
        <v>0.8</v>
      </c>
      <c r="E6" s="35" t="n">
        <f aca="false">MIN(0.8,(Inputs!$B$15/($A6*E$5))^(1/(E$5-1)))</f>
        <v>0.8</v>
      </c>
      <c r="F6" s="35" t="n">
        <f aca="false">MIN(0.8,(Inputs!$B$15/($A6*F$5))^(1/(F$5-1)))</f>
        <v>0.8</v>
      </c>
      <c r="G6" s="35" t="n">
        <f aca="false">MIN(0.8,(Inputs!$B$15/($A6*G$5))^(1/(G$5-1)))</f>
        <v>0.8</v>
      </c>
    </row>
    <row r="7" customFormat="false" ht="21.75" hidden="false" customHeight="true" outlineLevel="0" collapsed="false">
      <c r="A7" s="40" t="n">
        <v>0.15</v>
      </c>
      <c r="B7" s="35" t="n">
        <f aca="false">MIN(0.8,(Inputs!$B$15/($A7*B$5))^(1/(B$5-1)))</f>
        <v>0.763142828368888</v>
      </c>
      <c r="C7" s="35" t="n">
        <f aca="false">MIN(0.8,(Inputs!$B$15/($A7*C$5))^(1/(C$5-1)))</f>
        <v>0.743211262233982</v>
      </c>
      <c r="D7" s="35" t="n">
        <f aca="false">MIN(0.8,(Inputs!$B$15/($A7*D$5))^(1/(D$5-1)))</f>
        <v>0.759835685651593</v>
      </c>
      <c r="E7" s="35" t="n">
        <f aca="false">MIN(0.8,(Inputs!$B$15/($A7*E$5))^(1/(E$5-1)))</f>
        <v>0.780789038812207</v>
      </c>
      <c r="F7" s="35" t="n">
        <f aca="false">MIN(0.8,(Inputs!$B$15/($A7*F$5))^(1/(F$5-1)))</f>
        <v>0.799244807104817</v>
      </c>
      <c r="G7" s="35" t="n">
        <f aca="false">MIN(0.8,(Inputs!$B$15/($A7*G$5))^(1/(G$5-1)))</f>
        <v>0.8</v>
      </c>
    </row>
    <row r="8" customFormat="false" ht="21.75" hidden="false" customHeight="true" outlineLevel="0" collapsed="false">
      <c r="A8" s="40" t="n">
        <v>0.2</v>
      </c>
      <c r="B8" s="35" t="n">
        <f aca="false">MIN(0.8,(Inputs!$B$15/($A8*B$5))^(1/(B$5-1)))</f>
        <v>0.629960524947437</v>
      </c>
      <c r="C8" s="35" t="n">
        <f aca="false">MIN(0.8,(Inputs!$B$15/($A8*C$5))^(1/(C$5-1)))</f>
        <v>0.662425111423156</v>
      </c>
      <c r="D8" s="41" t="n">
        <f aca="false">MIN(0.8,(Inputs!$B$15/($A8*D$5))^(1/(D$5-1)))</f>
        <v>0.707106781186548</v>
      </c>
      <c r="E8" s="35" t="n">
        <f aca="false">MIN(0.8,(Inputs!$B$15/($A8*E$5))^(1/(E$5-1)))</f>
        <v>0.740998918098471</v>
      </c>
      <c r="F8" s="35" t="n">
        <f aca="false">MIN(0.8,(Inputs!$B$15/($A8*F$5))^(1/(F$5-1)))</f>
        <v>0.767063702317196</v>
      </c>
      <c r="G8" s="35" t="n">
        <f aca="false">MIN(0.8,(Inputs!$B$15/($A8*G$5))^(1/(G$5-1)))</f>
        <v>0.7937005259841</v>
      </c>
    </row>
    <row r="9" customFormat="false" ht="21.75" hidden="false" customHeight="true" outlineLevel="0" collapsed="false">
      <c r="A9" s="40" t="n">
        <v>0.25</v>
      </c>
      <c r="B9" s="35" t="n">
        <f aca="false">MIN(0.8,(Inputs!$B$15/($A9*B$5))^(1/(B$5-1)))</f>
        <v>0.542883523318981</v>
      </c>
      <c r="C9" s="35" t="n">
        <f aca="false">MIN(0.8,(Inputs!$B$15/($A9*C$5))^(1/(C$5-1)))</f>
        <v>0.605860699954663</v>
      </c>
      <c r="D9" s="35" t="n">
        <f aca="false">MIN(0.8,(Inputs!$B$15/($A9*D$5))^(1/(D$5-1)))</f>
        <v>0.668740304976422</v>
      </c>
      <c r="E9" s="35" t="n">
        <f aca="false">MIN(0.8,(Inputs!$B$15/($A9*E$5))^(1/(E$5-1)))</f>
        <v>0.711537136235017</v>
      </c>
      <c r="F9" s="35" t="n">
        <f aca="false">MIN(0.8,(Inputs!$B$15/($A9*F$5))^(1/(F$5-1)))</f>
        <v>0.742997144568474</v>
      </c>
      <c r="G9" s="35" t="n">
        <f aca="false">MIN(0.8,(Inputs!$B$15/($A9*G$5))^(1/(G$5-1)))</f>
        <v>0.774263682681127</v>
      </c>
    </row>
    <row r="10" customFormat="false" ht="21.75" hidden="false" customHeight="true" outlineLevel="0" collapsed="false">
      <c r="A10" s="40" t="n">
        <v>0.3</v>
      </c>
      <c r="B10" s="35" t="n">
        <f aca="false">MIN(0.8,(Inputs!$B$15/($A10*B$5))^(1/(B$5-1)))</f>
        <v>0.480749856769136</v>
      </c>
      <c r="C10" s="35" t="n">
        <f aca="false">MIN(0.8,(Inputs!$B$15/($A10*C$5))^(1/(C$5-1)))</f>
        <v>0.563248811292575</v>
      </c>
      <c r="D10" s="35" t="n">
        <f aca="false">MIN(0.8,(Inputs!$B$15/($A10*D$5))^(1/(D$5-1)))</f>
        <v>0.638943104246272</v>
      </c>
      <c r="E10" s="35" t="n">
        <f aca="false">MIN(0.8,(Inputs!$B$15/($A10*E$5))^(1/(E$5-1)))</f>
        <v>0.688336788613591</v>
      </c>
      <c r="F10" s="35" t="n">
        <f aca="false">MIN(0.8,(Inputs!$B$15/($A10*F$5))^(1/(F$5-1)))</f>
        <v>0.723894935334874</v>
      </c>
      <c r="G10" s="35" t="n">
        <f aca="false">MIN(0.8,(Inputs!$B$15/($A10*G$5))^(1/(G$5-1)))</f>
        <v>0.758736492657805</v>
      </c>
    </row>
    <row r="11" customFormat="false" ht="21.75" hidden="false" customHeight="true" outlineLevel="0" collapsed="false">
      <c r="A11" s="40" t="n">
        <v>0.4</v>
      </c>
      <c r="B11" s="35" t="n">
        <f aca="false">MIN(0.8,(Inputs!$B$15/($A11*B$5))^(1/(B$5-1)))</f>
        <v>0.39685026299205</v>
      </c>
      <c r="C11" s="35" t="n">
        <f aca="false">MIN(0.8,(Inputs!$B$15/($A11*C$5))^(1/(C$5-1)))</f>
        <v>0.502024357728287</v>
      </c>
      <c r="D11" s="35" t="n">
        <f aca="false">MIN(0.8,(Inputs!$B$15/($A11*D$5))^(1/(D$5-1)))</f>
        <v>0.594603557501361</v>
      </c>
      <c r="E11" s="35" t="n">
        <f aca="false">MIN(0.8,(Inputs!$B$15/($A11*E$5))^(1/(E$5-1)))</f>
        <v>0.653258166157125</v>
      </c>
      <c r="F11" s="35" t="n">
        <f aca="false">MIN(0.8,(Inputs!$B$15/($A11*F$5))^(1/(F$5-1)))</f>
        <v>0.694747747186569</v>
      </c>
      <c r="G11" s="35" t="n">
        <f aca="false">MIN(0.8,(Inputs!$B$15/($A11*G$5))^(1/(G$5-1)))</f>
        <v>0.734867246137799</v>
      </c>
    </row>
    <row r="13" customFormat="false" ht="55.5" hidden="false" customHeight="true" outlineLevel="0" collapsed="false">
      <c r="A13" s="32" t="s">
        <v>121</v>
      </c>
      <c r="B13" s="32"/>
      <c r="C13" s="32"/>
      <c r="D13" s="32"/>
      <c r="E13" s="32"/>
      <c r="F13" s="32"/>
      <c r="G13" s="32"/>
    </row>
    <row r="15" customFormat="false" ht="21.75" hidden="false" customHeight="true" outlineLevel="0" collapsed="false">
      <c r="A15" s="14" t="s">
        <v>122</v>
      </c>
      <c r="B15" s="14"/>
      <c r="C15" s="14"/>
      <c r="D15" s="14"/>
      <c r="E15" s="14"/>
      <c r="F15" s="14"/>
      <c r="G15" s="14"/>
    </row>
    <row r="16" customFormat="false" ht="21.75" hidden="false" customHeight="true" outlineLevel="0" collapsed="false">
      <c r="A16" s="33" t="s">
        <v>123</v>
      </c>
      <c r="B16" s="42" t="s">
        <v>124</v>
      </c>
      <c r="C16" s="42"/>
      <c r="D16" s="42" t="s">
        <v>125</v>
      </c>
      <c r="E16" s="42"/>
      <c r="F16" s="42" t="s">
        <v>126</v>
      </c>
      <c r="G16" s="42"/>
    </row>
    <row r="17" customFormat="false" ht="18" hidden="false" customHeight="true" outlineLevel="0" collapsed="false">
      <c r="A17" s="17" t="s">
        <v>127</v>
      </c>
      <c r="B17" s="43" t="s">
        <v>128</v>
      </c>
      <c r="C17" s="43"/>
      <c r="D17" s="43" t="s">
        <v>129</v>
      </c>
      <c r="E17" s="43"/>
      <c r="F17" s="43" t="s">
        <v>130</v>
      </c>
      <c r="G17" s="43"/>
    </row>
    <row r="18" customFormat="false" ht="18" hidden="false" customHeight="true" outlineLevel="0" collapsed="false">
      <c r="A18" s="17" t="s">
        <v>131</v>
      </c>
      <c r="B18" s="43" t="s">
        <v>132</v>
      </c>
      <c r="C18" s="43"/>
      <c r="D18" s="43" t="s">
        <v>133</v>
      </c>
      <c r="E18" s="43"/>
      <c r="F18" s="43" t="s">
        <v>134</v>
      </c>
      <c r="G18" s="43"/>
    </row>
    <row r="19" customFormat="false" ht="18" hidden="false" customHeight="true" outlineLevel="0" collapsed="false">
      <c r="A19" s="17" t="s">
        <v>135</v>
      </c>
      <c r="B19" s="43" t="s">
        <v>136</v>
      </c>
      <c r="C19" s="43"/>
      <c r="D19" s="43" t="s">
        <v>137</v>
      </c>
      <c r="E19" s="43"/>
      <c r="F19" s="43" t="s">
        <v>138</v>
      </c>
      <c r="G19" s="43"/>
    </row>
    <row r="20" customFormat="false" ht="18" hidden="false" customHeight="true" outlineLevel="0" collapsed="false">
      <c r="A20" s="17" t="s">
        <v>139</v>
      </c>
      <c r="B20" s="43" t="s">
        <v>128</v>
      </c>
      <c r="C20" s="43"/>
      <c r="D20" s="43" t="s">
        <v>133</v>
      </c>
      <c r="E20" s="43"/>
      <c r="F20" s="43" t="s">
        <v>140</v>
      </c>
      <c r="G20" s="43"/>
    </row>
    <row r="21" customFormat="false" ht="18" hidden="false" customHeight="true" outlineLevel="0" collapsed="false">
      <c r="A21" s="17" t="s">
        <v>141</v>
      </c>
      <c r="B21" s="43" t="s">
        <v>142</v>
      </c>
      <c r="C21" s="43"/>
      <c r="D21" s="43" t="s">
        <v>129</v>
      </c>
      <c r="E21" s="43"/>
      <c r="F21" s="43" t="s">
        <v>143</v>
      </c>
      <c r="G21" s="43"/>
    </row>
    <row r="22" customFormat="false" ht="18" hidden="false" customHeight="true" outlineLevel="0" collapsed="false">
      <c r="A22" s="17" t="s">
        <v>144</v>
      </c>
      <c r="B22" s="43" t="s">
        <v>145</v>
      </c>
      <c r="C22" s="43"/>
      <c r="D22" s="43" t="s">
        <v>146</v>
      </c>
      <c r="E22" s="43"/>
      <c r="F22" s="43" t="s">
        <v>147</v>
      </c>
      <c r="G22" s="43"/>
    </row>
  </sheetData>
  <mergeCells count="25">
    <mergeCell ref="A1:G2"/>
    <mergeCell ref="A4:G4"/>
    <mergeCell ref="A13:G13"/>
    <mergeCell ref="A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2026-05-09T10:45:06Z</dcterms:created>
  <dc:creator>openpyxl</dc:creator>
  <dc:description/>
  <dc:language>en-US</dc:language>
  <cp:lastModifiedBy/>
  <dcterms:modified xsi:type="dcterms:W3CDTF">2026-05-09T10:45:06Z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