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ADME" sheetId="1" state="visible" r:id="rId3"/>
    <sheet name="WACC" sheetId="2" state="visible" r:id="rId4"/>
    <sheet name="FCFF Projection" sheetId="3" state="visible" r:id="rId5"/>
    <sheet name="Terminal Value" sheetId="4" state="visible" r:id="rId6"/>
    <sheet name="DCF Valuation" sheetId="5" state="visible" r:id="rId7"/>
    <sheet name="Sensitivity" sheetId="6" state="visible" r:id="rId8"/>
    <sheet name="Multiples Triangulation" sheetId="7" state="visible" r:id="rId9"/>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<sst xmlns="http://schemas.openxmlformats.org/spreadsheetml/2006/main" count="207" uniqueCount="189">
  <si>
    <t xml:space="preserve">DCF Valuation Toolkit · Module 07</t>
  </si>
  <si>
    <t xml:space="preserve">Globefin Corporate Finance · Discounted Cash Flow with Sensitivity &amp; Multiples Triangulation</t>
  </si>
  <si>
    <t xml:space="preserve">How this model works</t>
  </si>
  <si>
    <t xml:space="preserve">This is a complete enterprise-DCF valuation model. It takes a five-year FCFF projection (defaults to Sample Company from Module 04) and a WACC build (defaults to Sample Company's 9.27% from Module 05), discounts the cash flows, adds a terminal value (computed two ways), and produces an implied enterprise value, equity value, and per-share value.</t>
  </si>
  <si>
    <t xml:space="preserve">Step 1 · Set the WACC inputs</t>
  </si>
  <si>
    <t xml:space="preserve">The WACC tab has the same structure as Module 05's lesson: risk-free rate, ERP, beta, cost of debt, tax rate, capital structure. Edit the yellow input cells to model your company. The computed WACC flows into the discount calculations on the DCF Valuation tab.</t>
  </si>
  <si>
    <t xml:space="preserve">Step 2 · Set the FCFF projection</t>
  </si>
  <si>
    <t xml:space="preserve">The FCFF Projection tab has 5 years of free cash flow to firm. Defaults are Sample Company (from Module 04's three-statement model: $50M Y1 growing to ~$125M Y5). Edit the yellow input cells with your own projection — typically pulled from a Module 04 three-statement build.</t>
  </si>
  <si>
    <t xml:space="preserve">Step 3 · Choose terminal-value method</t>
  </si>
  <si>
    <t xml:space="preserve">The Terminal Value tab computes terminal value two ways: Gordon Growth (perpetuity formula) and Exit Multiple (apply an EV/EBITDA multiple to terminal-year EBITDA). Both are shown side-by-side. Pick the one that's more defensible for your firm and method.</t>
  </si>
  <si>
    <t xml:space="preserve">Step 4 · Read the valuation</t>
  </si>
  <si>
    <t xml:space="preserve">The DCF Valuation tab pulls everything together: PV of explicit-period FCFF + PV of terminal value = Enterprise Value. Subtract net debt to get Equity Value. Divide by shares outstanding for implied share price.</t>
  </si>
  <si>
    <t xml:space="preserve">Step 5 · Stress-test with sensitivity</t>
  </si>
  <si>
    <t xml:space="preserve">The Sensitivity tab flexes the two most consequential drivers — WACC and terminal growth (or exit multiple) — and shows how the implied valuation changes. Use this to bracket a value range, not just a point estimate.</t>
  </si>
  <si>
    <t xml:space="preserve">Step 6 · Triangulate against multiples</t>
  </si>
  <si>
    <t xml:space="preserve">The Multiples Triangulation tab applies EV/EBITDA, EV/EBIT, and P/E multiples to the projection (the Module 06 approach) and compares to the DCF answer. When DCF and multiples agree, you have confidence. When they disagree, you have a question to investigate.</t>
  </si>
  <si>
    <t xml:space="preserve">Click any black-text cell to see the formula. Cross-sheet references appear in green. Editable inputs are blue text on light-yellow fill.</t>
  </si>
  <si>
    <t xml:space="preserve">Color &amp; format key</t>
  </si>
  <si>
    <t xml:space="preserve">Blue on yellow</t>
  </si>
  <si>
    <t xml:space="preserve">Input cells — replace with your data</t>
  </si>
  <si>
    <t xml:space="preserve">Black</t>
  </si>
  <si>
    <t xml:space="preserve">Formula or calculated value — do not edit</t>
  </si>
  <si>
    <t xml:space="preserve">Green</t>
  </si>
  <si>
    <t xml:space="preserve">Cross-sheet reference (pulled from another tab)</t>
  </si>
  <si>
    <t xml:space="preserve">White on navy</t>
  </si>
  <si>
    <t xml:space="preserve">Section header</t>
  </si>
  <si>
    <t xml:space="preserve">Bold black on gray</t>
  </si>
  <si>
    <t xml:space="preserve">Subtotal row</t>
  </si>
  <si>
    <t xml:space="preserve">Cream highlight</t>
  </si>
  <si>
    <t xml:space="preserve">Key derived metric (e.g., implied EV)</t>
  </si>
  <si>
    <t xml:space="preserve">Caveats and limitations</t>
  </si>
  <si>
    <t xml:space="preserve">• This model uses end-of-year discounting. Mid-year discounting (which is more accurate for businesses generating cash continuously through the year) would multiply the PV by (1+WACC)^0.5 — a roughly 4-5% increase in valuation at typical WACCs. Switch by editing the discount-period column on the DCF Valuation tab.</t>
  </si>
  <si>
    <t xml:space="preserve">• Terminal value typically accounts for 60-80% of total enterprise value in most DCFs. This means terminal-value assumptions (terminal growth rate or exit multiple) are usually the most consequential inputs. Always run sensitivity on the terminal-value driver.</t>
  </si>
  <si>
    <t xml:space="preserve">• The Gordon Growth formula assumes the firm grows at a constant rate forever. This is a simplification — real firms experience cycles, structural changes, and competitive dynamics that violate the assumption. The model is most defensible when the explicit period extends to a point where the business is in genuine steady-state.</t>
  </si>
  <si>
    <t xml:space="preserve">• Exit-multiple terminal values implicitly assume the firm will be sold at a price reflecting current sector multiples in the future. This may or may not hold; multiples themselves change over time. Both methods have weaknesses; using both and reconciling is best practice.</t>
  </si>
  <si>
    <t xml:space="preserve">• Per-share values are sensitive to share-count assumptions. Use diluted share count (including options, warrants, convertibles) for a fair-value calculation. Treasury-method dilution is the standard approach.</t>
  </si>
  <si>
    <t xml:space="preserve">WACC Build · Sample Company</t>
  </si>
  <si>
    <t xml:space="preserve">  COST OF EQUITY · CAPM</t>
  </si>
  <si>
    <t xml:space="preserve">Risk-free rate (10-yr Treasury)</t>
  </si>
  <si>
    <t xml:space="preserve">Current 10-year Treasury yield</t>
  </si>
  <si>
    <t xml:space="preserve">Equity risk premium (ERP)</t>
  </si>
  <si>
    <t xml:space="preserve">US long-run average; 5-6% typical</t>
  </si>
  <si>
    <t xml:space="preserve">Beta (levered)</t>
  </si>
  <si>
    <t xml:space="preserve">Stock's sensitivity to market</t>
  </si>
  <si>
    <t xml:space="preserve">Cost of equity (CAPM)</t>
  </si>
  <si>
    <t xml:space="preserve">Rf + β × ERP</t>
  </si>
  <si>
    <t xml:space="preserve">  COST OF DEBT</t>
  </si>
  <si>
    <t xml:space="preserve">Pre-tax cost of debt</t>
  </si>
  <si>
    <t xml:space="preserve">YTM on company's debt or rating-implied yield</t>
  </si>
  <si>
    <t xml:space="preserve">Marginal tax rate</t>
  </si>
  <si>
    <t xml:space="preserve">Effective tax rate; typically 21-28% in US</t>
  </si>
  <si>
    <t xml:space="preserve">After-tax cost of debt</t>
  </si>
  <si>
    <t xml:space="preserve">Rd × (1 − T)</t>
  </si>
  <si>
    <t xml:space="preserve">  CAPITAL STRUCTURE (MARKET VALUES)</t>
  </si>
  <si>
    <t xml:space="preserve">Equity weight (E ÷ V)</t>
  </si>
  <si>
    <t xml:space="preserve">Use market cap / total capital at market</t>
  </si>
  <si>
    <t xml:space="preserve">Debt weight (D ÷ V)</t>
  </si>
  <si>
    <t xml:space="preserve">1 − Equity weight</t>
  </si>
  <si>
    <t xml:space="preserve">  WACC RESULT</t>
  </si>
  <si>
    <t xml:space="preserve">Equity weight × cost of equity</t>
  </si>
  <si>
    <t xml:space="preserve">Debt weight × after-tax cost of debt</t>
  </si>
  <si>
    <t xml:space="preserve">WEIGHTED AVERAGE COST OF CAPITAL (WACC)</t>
  </si>
  <si>
    <t xml:space="preserve">Used in DCF discounting</t>
  </si>
  <si>
    <t xml:space="preserve">FCFF Projection · 5-Year Explicit Period ($M)</t>
  </si>
  <si>
    <t xml:space="preserve">Year 1</t>
  </si>
  <si>
    <t xml:space="preserve">Year 2</t>
  </si>
  <si>
    <t xml:space="preserve">Year 3</t>
  </si>
  <si>
    <t xml:space="preserve">Year 4</t>
  </si>
  <si>
    <t xml:space="preserve">Year 5</t>
  </si>
  <si>
    <t xml:space="preserve">Notes</t>
  </si>
  <si>
    <t xml:space="preserve">Revenue</t>
  </si>
  <si>
    <t xml:space="preserve">From three-statement model</t>
  </si>
  <si>
    <t xml:space="preserve">Gross margin %</t>
  </si>
  <si>
    <t xml:space="preserve">Gross profit / Revenue</t>
  </si>
  <si>
    <t xml:space="preserve">SG&amp;A %</t>
  </si>
  <si>
    <t xml:space="preserve">EBITDA</t>
  </si>
  <si>
    <t xml:space="preserve">Revenue × (GM − SG&amp;A%)</t>
  </si>
  <si>
    <t xml:space="preserve">D&amp;A % of revenue</t>
  </si>
  <si>
    <t xml:space="preserve">Depreciation &amp; amortization</t>
  </si>
  <si>
    <t xml:space="preserve">EBIT</t>
  </si>
  <si>
    <t xml:space="preserve">EBITDA − D&amp;A</t>
  </si>
  <si>
    <t xml:space="preserve">NOPAT  = EBIT × (1 − T)</t>
  </si>
  <si>
    <t xml:space="preserve">Tax rate from WACC tab</t>
  </si>
  <si>
    <t xml:space="preserve">+ D&amp;A (add back)</t>
  </si>
  <si>
    <t xml:space="preserve">Capex % of revenue</t>
  </si>
  <si>
    <t xml:space="preserve">− Capex</t>
  </si>
  <si>
    <t xml:space="preserve">ΔWC % of Δrevenue</t>
  </si>
  <si>
    <t xml:space="preserve">− ΔWorking capital</t>
  </si>
  <si>
    <t xml:space="preserve">−ΔRevenue × ΔWC%</t>
  </si>
  <si>
    <t xml:space="preserve">FREE CASH FLOW TO FIRM (FCFF)</t>
  </si>
  <si>
    <t xml:space="preserve">NOPAT + D&amp;A − Capex − ΔWC</t>
  </si>
  <si>
    <t xml:space="preserve">Memo: Revenue growth</t>
  </si>
  <si>
    <t xml:space="preserve">Memo: EBITDA margin</t>
  </si>
  <si>
    <t xml:space="preserve">Memo: FCFF margin</t>
  </si>
  <si>
    <t xml:space="preserve">Terminal Value · Two Methods Side-by-Side</t>
  </si>
  <si>
    <t xml:space="preserve">Inputs / Step</t>
  </si>
  <si>
    <t xml:space="preserve">Gordon Growth Method</t>
  </si>
  <si>
    <t xml:space="preserve">Exit Multiple Method</t>
  </si>
  <si>
    <t xml:space="preserve">Year-5 FCFF (terminal-year)</t>
  </si>
  <si>
    <t xml:space="preserve">From FCFF Projection tab, Y5</t>
  </si>
  <si>
    <t xml:space="preserve">—</t>
  </si>
  <si>
    <t xml:space="preserve">Not used in exit-multiple</t>
  </si>
  <si>
    <t xml:space="preserve">Year-5 EBITDA (terminal-year)</t>
  </si>
  <si>
    <t xml:space="preserve">Not used in Gordon Growth</t>
  </si>
  <si>
    <t xml:space="preserve">Terminal growth rate (g)</t>
  </si>
  <si>
    <t xml:space="preserve">Long-run nominal GDP growth</t>
  </si>
  <si>
    <t xml:space="preserve">Exit EV/EBITDA multiple</t>
  </si>
  <si>
    <t xml:space="preserve">Comparable trading multiple, end Y5</t>
  </si>
  <si>
    <t xml:space="preserve">WACC (from WACC tab)</t>
  </si>
  <si>
    <t xml:space="preserve">Discount rate</t>
  </si>
  <si>
    <t xml:space="preserve">WACC used in PV bridge</t>
  </si>
  <si>
    <t xml:space="preserve">  TERMINAL VALUE — UNDISCOUNTED (at end of Year 5)</t>
  </si>
  <si>
    <t xml:space="preserve">Year-6 FCFF = Year-5 × (1+g)</t>
  </si>
  <si>
    <t xml:space="preserve">Cash flow grown one period beyond Y5</t>
  </si>
  <si>
    <t xml:space="preserve">Terminal value (undiscounted)</t>
  </si>
  <si>
    <t xml:space="preserve">FCFF6 ÷ (WACC − g)</t>
  </si>
  <si>
    <t xml:space="preserve">Exit multiple × Y5 EBITDA</t>
  </si>
  <si>
    <t xml:space="preserve">  PV OF TERMINAL VALUE (discounted to today)</t>
  </si>
  <si>
    <t xml:space="preserve">Discount factor = 1 ÷ (1+WACC)^5</t>
  </si>
  <si>
    <t xml:space="preserve">Discount Y5 to today</t>
  </si>
  <si>
    <t xml:space="preserve">PV of terminal value</t>
  </si>
  <si>
    <t xml:space="preserve">Gordon Growth · discounted</t>
  </si>
  <si>
    <t xml:space="preserve">Exit Multiple · discounted</t>
  </si>
  <si>
    <t xml:space="preserve">Method to use in DCF (1 = Gordon, 2 = Exit Mult.)</t>
  </si>
  <si>
    <t xml:space="preserve">Pick which method DCF Valuation tab uses</t>
  </si>
  <si>
    <t xml:space="preserve">→ Selected PV of terminal value</t>
  </si>
  <si>
    <t xml:space="preserve">Used by DCF Valuation tab</t>
  </si>
  <si>
    <t xml:space="preserve">DCF Valuation · Sample Company ($M)</t>
  </si>
  <si>
    <t xml:space="preserve">Single discount rate</t>
  </si>
  <si>
    <t xml:space="preserve">  EXPLICIT-PERIOD CASH FLOWS (Years 1-5)</t>
  </si>
  <si>
    <t xml:space="preserve">FCFF</t>
  </si>
  <si>
    <t xml:space="preserve">From FCFF Projection tab</t>
  </si>
  <si>
    <t xml:space="preserve">Discount period (years)</t>
  </si>
  <si>
    <t xml:space="preserve">End-of-year convention</t>
  </si>
  <si>
    <t xml:space="preserve">Discount factor = 1 ÷ (1+WACC)^period</t>
  </si>
  <si>
    <t xml:space="preserve">PV of FCFF</t>
  </si>
  <si>
    <t xml:space="preserve">FCFF × Discount factor</t>
  </si>
  <si>
    <t xml:space="preserve">  ENTERPRISE VALUE BUILD</t>
  </si>
  <si>
    <t xml:space="preserve">Sum: PV of explicit-period FCFF (Y1-Y5)</t>
  </si>
  <si>
    <t xml:space="preserve">Module 04 cash flows discounted</t>
  </si>
  <si>
    <t xml:space="preserve">+ PV of terminal value</t>
  </si>
  <si>
    <t xml:space="preserve">Selected method on TV tab</t>
  </si>
  <si>
    <t xml:space="preserve">ENTERPRISE VALUE</t>
  </si>
  <si>
    <t xml:space="preserve">PV of explicit + PV of terminal</t>
  </si>
  <si>
    <t xml:space="preserve">Memo: % of EV from terminal value</t>
  </si>
  <si>
    <t xml:space="preserve">Watch: typically 60-80% in mature firms</t>
  </si>
  <si>
    <t xml:space="preserve">  BRIDGE TO EQUITY VALUE</t>
  </si>
  <si>
    <t xml:space="preserve">− Total debt (market value)</t>
  </si>
  <si>
    <t xml:space="preserve">From balance sheet</t>
  </si>
  <si>
    <t xml:space="preserve">+ Cash and equivalents</t>
  </si>
  <si>
    <t xml:space="preserve">EQUITY VALUE</t>
  </si>
  <si>
    <t xml:space="preserve">EV − Debt + Cash</t>
  </si>
  <si>
    <t xml:space="preserve">  PER-SHARE VALUE</t>
  </si>
  <si>
    <t xml:space="preserve">Diluted shares outstanding (M)</t>
  </si>
  <si>
    <t xml:space="preserve">Including options, RSUs, convertibles</t>
  </si>
  <si>
    <t xml:space="preserve">→ IMPLIED SHARE PRICE</t>
  </si>
  <si>
    <t xml:space="preserve">Equity value ÷ shares</t>
  </si>
  <si>
    <t xml:space="preserve">Sensitivity · Implied Enterprise Value ($M)</t>
  </si>
  <si>
    <t xml:space="preserve">Base case Enterprise Value</t>
  </si>
  <si>
    <t xml:space="preserve">Pulled from DCF Valuation tab. Base case is current input values on WACC and Terminal Value tabs.</t>
  </si>
  <si>
    <t xml:space="preserve">  EV Sensitivity · WACC (rows) × Terminal Growth (columns)</t>
  </si>
  <si>
    <t xml:space="preserve">WACC ↓ / g →</t>
  </si>
  <si>
    <t xml:space="preserve">Note: Sensitivity table assumes Gordon Growth terminal value. Cream-highlighted cell is the base case (WACC = 9.27%, g = 3.0%). Increasing WACC or decreasing g lowers EV; vice versa raises it.</t>
  </si>
  <si>
    <t xml:space="preserve">Multiples Triangulation · DCF vs. Multiples ($M)</t>
  </si>
  <si>
    <t xml:space="preserve">  EV/EBITDA · EV/EBIT · P/E — Comparison to DCF</t>
  </si>
  <si>
    <t xml:space="preserve">Method</t>
  </si>
  <si>
    <t xml:space="preserve">Multiple</t>
  </si>
  <si>
    <t xml:space="preserve">Y1 metric</t>
  </si>
  <si>
    <t xml:space="preserve">Implied EV</t>
  </si>
  <si>
    <t xml:space="preserve">vs. DCF</t>
  </si>
  <si>
    <t xml:space="preserve">DCF (this model)</t>
  </si>
  <si>
    <t xml:space="preserve">(baseline)</t>
  </si>
  <si>
    <t xml:space="preserve">Discounted FCFF + terminal</t>
  </si>
  <si>
    <t xml:space="preserve">EV / EBITDA (forward)</t>
  </si>
  <si>
    <t xml:space="preserve">Sector trading multiple</t>
  </si>
  <si>
    <t xml:space="preserve">EV / EBIT (forward)</t>
  </si>
  <si>
    <t xml:space="preserve">Captures capital intensity</t>
  </si>
  <si>
    <t xml:space="preserve">P/E (forward, on Y1 NI)</t>
  </si>
  <si>
    <t xml:space="preserve">P/E × NI; bridged to EV</t>
  </si>
  <si>
    <t xml:space="preserve">  FOOTBALL FIELD · Range Across Methods</t>
  </si>
  <si>
    <t xml:space="preserve">Lowest implied EV</t>
  </si>
  <si>
    <t xml:space="preserve">Conservative end of range</t>
  </si>
  <si>
    <t xml:space="preserve">Highest implied EV</t>
  </si>
  <si>
    <t xml:space="preserve">Aggressive end of range</t>
  </si>
  <si>
    <t xml:space="preserve">Mean across methods</t>
  </si>
  <si>
    <t xml:space="preserve">Triangulation point estimate</t>
  </si>
  <si>
    <t xml:space="preserve">Range as % of DCF</t>
  </si>
  <si>
    <t xml:space="preserve">Spread between methods</t>
  </si>
  <si>
    <t xml:space="preserve">Interpretation: a range within ±10% across methods is normal — minor differences reflect different ways of capturing growth, capital intensity, and discount-rate assumptions. A spread of 25%+ suggests the comp set, terminal-value assumptions, or the DCF projections need re-examination. The triangulation isn't about picking the 'right' answer; it's about identifying where assumptions need stress-testing.</t>
  </si>
</sst>
</file>

<file path=xl/styles.xml><?xml version="1.0" encoding="utf-8"?>
<styleSheet xmlns="http://schemas.openxmlformats.org/spreadsheetml/2006/main">
  <numFmts count="10">
    <numFmt numFmtId="164" formatCode="General"/>
    <numFmt numFmtId="165" formatCode="0.0%;\(0.0%\);\-"/>
    <numFmt numFmtId="166" formatCode="0.00"/>
    <numFmt numFmtId="167" formatCode="0.00%;\(0.00%\);\-"/>
    <numFmt numFmtId="168" formatCode="_(\$* #,##0_);_(\$* \(#,##0\);_(\$* \-_);_(@_)"/>
    <numFmt numFmtId="169" formatCode="0.00\×"/>
    <numFmt numFmtId="170" formatCode="0.0000"/>
    <numFmt numFmtId="171" formatCode="0"/>
    <numFmt numFmtId="172" formatCode="#,##0.0&quot; M&quot;"/>
    <numFmt numFmtId="173" formatCode="\$#,##0.00"/>
  </numFmts>
  <fonts count="20">
    <font>
      <sz val="11"/>
      <color theme="1"/>
      <name val="Calibri"/>
      <family val="2"/>
      <charset val="1"/>
    </font>
    <font>
      <sz val="10"/>
      <name val="Arial"/>
      <family val="0"/>
    </font>
    <font>
      <sz val="10"/>
      <name val="Arial"/>
      <family val="0"/>
    </font>
    <font>
      <sz val="10"/>
      <name val="Arial"/>
      <family val="0"/>
    </font>
    <font>
      <b val="true"/>
      <sz val="18"/>
      <color rgb="FFFFFFFF"/>
      <name val="Arial"/>
      <family val="0"/>
      <charset val="1"/>
    </font>
    <font>
      <i val="true"/>
      <sz val="11"/>
      <color rgb="FFF8C10B"/>
      <name val="Arial"/>
      <family val="0"/>
      <charset val="1"/>
    </font>
    <font>
      <b val="true"/>
      <sz val="14"/>
      <color rgb="FF0B1020"/>
      <name val="Arial"/>
      <family val="0"/>
      <charset val="1"/>
    </font>
    <font>
      <sz val="10"/>
      <color rgb="FF000000"/>
      <name val="Arial"/>
      <family val="0"/>
      <charset val="1"/>
    </font>
    <font>
      <b val="true"/>
      <sz val="11"/>
      <color rgb="FF0B1020"/>
      <name val="Arial"/>
      <family val="0"/>
      <charset val="1"/>
    </font>
    <font>
      <sz val="10"/>
      <color rgb="FF0000FF"/>
      <name val="Arial"/>
      <family val="0"/>
      <charset val="1"/>
    </font>
    <font>
      <sz val="10"/>
      <color rgb="FF008000"/>
      <name val="Arial"/>
      <family val="0"/>
      <charset val="1"/>
    </font>
    <font>
      <b val="true"/>
      <sz val="11"/>
      <color rgb="FFFFFFFF"/>
      <name val="Arial"/>
      <family val="0"/>
      <charset val="1"/>
    </font>
    <font>
      <b val="true"/>
      <sz val="10"/>
      <color rgb="FF000000"/>
      <name val="Arial"/>
      <family val="0"/>
      <charset val="1"/>
    </font>
    <font>
      <i val="true"/>
      <sz val="9"/>
      <color rgb="FF666666"/>
      <name val="Arial"/>
      <family val="0"/>
      <charset val="1"/>
    </font>
    <font>
      <sz val="10"/>
      <color rgb="FF555555"/>
      <name val="Arial"/>
      <family val="0"/>
      <charset val="1"/>
    </font>
    <font>
      <b val="true"/>
      <sz val="11"/>
      <color rgb="FFF8C10B"/>
      <name val="Arial"/>
      <family val="0"/>
      <charset val="1"/>
    </font>
    <font>
      <b val="true"/>
      <sz val="10"/>
      <color rgb="FFFFFFFF"/>
      <name val="Arial"/>
      <family val="0"/>
      <charset val="1"/>
    </font>
    <font>
      <b val="true"/>
      <sz val="10"/>
      <color rgb="FF0B1020"/>
      <name val="Arial"/>
      <family val="0"/>
      <charset val="1"/>
    </font>
    <font>
      <b val="true"/>
      <sz val="12"/>
      <color rgb="FFF8C10B"/>
      <name val="Arial"/>
      <family val="0"/>
      <charset val="1"/>
    </font>
    <font>
      <b val="true"/>
      <sz val="12"/>
      <color rgb="FF0B1020"/>
      <name val="Arial"/>
      <family val="0"/>
      <charset val="1"/>
    </font>
  </fonts>
  <fills count="8">
    <fill>
      <patternFill patternType="none"/>
    </fill>
    <fill>
      <patternFill patternType="gray125"/>
    </fill>
    <fill>
      <patternFill patternType="solid">
        <fgColor rgb="FF0B1020"/>
        <bgColor rgb="FF000000"/>
      </patternFill>
    </fill>
    <fill>
      <patternFill patternType="solid">
        <fgColor rgb="FFFFFACD"/>
        <bgColor rgb="FFFFF8E1"/>
      </patternFill>
    </fill>
    <fill>
      <patternFill patternType="solid">
        <fgColor rgb="FFF7F9FC"/>
        <bgColor rgb="FFFFFFFF"/>
      </patternFill>
    </fill>
    <fill>
      <patternFill patternType="solid">
        <fgColor rgb="FFFFFBE9"/>
        <bgColor rgb="FFFFF8E1"/>
      </patternFill>
    </fill>
    <fill>
      <patternFill patternType="solid">
        <fgColor rgb="FFF8C10B"/>
        <bgColor rgb="FFFF9900"/>
      </patternFill>
    </fill>
    <fill>
      <patternFill patternType="solid">
        <fgColor rgb="FFFFF8E1"/>
        <bgColor rgb="FFFFFBE9"/>
      </patternFill>
    </fill>
  </fills>
  <borders count="3">
    <border diagonalUp="false" diagonalDown="false">
      <left/>
      <right/>
      <top/>
      <bottom/>
      <diagonal/>
    </border>
    <border diagonalUp="false" diagonalDown="false">
      <left style="thin">
        <color rgb="FFE6E8ED"/>
      </left>
      <right style="thin">
        <color rgb="FFE6E8ED"/>
      </right>
      <top style="thin">
        <color rgb="FFE6E8ED"/>
      </top>
      <bottom style="thin">
        <color rgb="FFE6E8ED"/>
      </bottom>
      <diagonal/>
    </border>
    <border diagonalUp="false" diagonalDown="false">
      <left style="thin">
        <color rgb="FFE6E8ED"/>
      </left>
      <right/>
      <top style="thin">
        <color rgb="FFE6E8ED"/>
      </top>
      <bottom style="thin">
        <color rgb="FFE6E8ED"/>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4" fontId="8" fillId="0" borderId="0" xfId="0" applyFont="true" applyBorder="false" applyAlignment="true" applyProtection="false">
      <alignment horizontal="left" vertical="top" textRotation="0" wrapText="true" indent="0" shrinkToFit="false"/>
      <protection locked="true" hidden="false"/>
    </xf>
    <xf numFmtId="164" fontId="9" fillId="3" borderId="1"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10" fillId="0" borderId="1" xfId="0" applyFont="true" applyBorder="true" applyAlignment="true" applyProtection="false">
      <alignment horizontal="center" vertical="center" textRotation="0" wrapText="false" indent="0" shrinkToFit="false"/>
      <protection locked="true" hidden="false"/>
    </xf>
    <xf numFmtId="164" fontId="11" fillId="2" borderId="1" xfId="0" applyFont="true" applyBorder="true" applyAlignment="true" applyProtection="false">
      <alignment horizontal="center" vertical="center" textRotation="0" wrapText="false" indent="0" shrinkToFit="false"/>
      <protection locked="true" hidden="false"/>
    </xf>
    <xf numFmtId="164" fontId="12" fillId="4" borderId="1" xfId="0" applyFont="true" applyBorder="true" applyAlignment="true" applyProtection="false">
      <alignment horizontal="center" vertical="center" textRotation="0" wrapText="false" indent="0" shrinkToFit="false"/>
      <protection locked="true" hidden="false"/>
    </xf>
    <xf numFmtId="164" fontId="12" fillId="5" borderId="1" xfId="0" applyFont="true" applyBorder="true" applyAlignment="true" applyProtection="false">
      <alignment horizontal="center" vertical="center" textRotation="0" wrapText="false" indent="0" shrinkToFit="false"/>
      <protection locked="true" hidden="false"/>
    </xf>
    <xf numFmtId="164" fontId="11" fillId="2" borderId="0" xfId="0" applyFont="true" applyBorder="true" applyAlignment="true" applyProtection="false">
      <alignment horizontal="left" vertical="center" textRotation="0" wrapText="false" indent="0" shrinkToFit="false"/>
      <protection locked="true" hidden="false"/>
    </xf>
    <xf numFmtId="165" fontId="9" fillId="3" borderId="1" xfId="0" applyFont="true" applyBorder="true" applyAlignment="true" applyProtection="false">
      <alignment horizontal="right"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6" fontId="9" fillId="3" borderId="1" xfId="0" applyFont="true" applyBorder="true" applyAlignment="true" applyProtection="false">
      <alignment horizontal="right" vertical="center" textRotation="0" wrapText="false" indent="0" shrinkToFit="false"/>
      <protection locked="true" hidden="false"/>
    </xf>
    <xf numFmtId="164" fontId="12" fillId="4" borderId="0" xfId="0" applyFont="true" applyBorder="false" applyAlignment="true" applyProtection="false">
      <alignment horizontal="left" vertical="center" textRotation="0" wrapText="false" indent="0" shrinkToFit="false"/>
      <protection locked="true" hidden="false"/>
    </xf>
    <xf numFmtId="167" fontId="12" fillId="4" borderId="1" xfId="0" applyFont="true" applyBorder="true" applyAlignment="true" applyProtection="false">
      <alignment horizontal="right" vertical="center" textRotation="0" wrapText="false" indent="0" shrinkToFit="false"/>
      <protection locked="true" hidden="false"/>
    </xf>
    <xf numFmtId="165" fontId="7" fillId="0" borderId="1" xfId="0" applyFont="true" applyBorder="true" applyAlignment="true" applyProtection="false">
      <alignment horizontal="righ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2" shrinkToFit="false"/>
      <protection locked="true" hidden="false"/>
    </xf>
    <xf numFmtId="167" fontId="7" fillId="0" borderId="1" xfId="0" applyFont="true" applyBorder="true" applyAlignment="true" applyProtection="false">
      <alignment horizontal="right" vertical="center" textRotation="0" wrapText="false" indent="0" shrinkToFit="false"/>
      <protection locked="true" hidden="false"/>
    </xf>
    <xf numFmtId="164" fontId="11" fillId="2" borderId="0" xfId="0" applyFont="true" applyBorder="false" applyAlignment="true" applyProtection="false">
      <alignment horizontal="left" vertical="center" textRotation="0" wrapText="false" indent="0" shrinkToFit="false"/>
      <protection locked="true" hidden="false"/>
    </xf>
    <xf numFmtId="167" fontId="15" fillId="2" borderId="1" xfId="0" applyFont="true" applyBorder="true" applyAlignment="true" applyProtection="false">
      <alignment horizontal="right"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4" fontId="16" fillId="2" borderId="1" xfId="0" applyFont="true" applyBorder="true" applyAlignment="true" applyProtection="false">
      <alignment horizontal="center" vertical="center" textRotation="0" wrapText="false" indent="0" shrinkToFit="false"/>
      <protection locked="true" hidden="false"/>
    </xf>
    <xf numFmtId="164" fontId="16" fillId="2" borderId="0" xfId="0" applyFont="true" applyBorder="fals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8" fontId="9" fillId="3" borderId="1" xfId="0" applyFont="true" applyBorder="true" applyAlignment="true" applyProtection="false">
      <alignment horizontal="right" vertical="center" textRotation="0" wrapText="false" indent="0" shrinkToFit="false"/>
      <protection locked="true" hidden="false"/>
    </xf>
    <xf numFmtId="168" fontId="12" fillId="4" borderId="1" xfId="0" applyFont="true" applyBorder="true" applyAlignment="true" applyProtection="false">
      <alignment horizontal="right" vertical="center" textRotation="0" wrapText="false" indent="0" shrinkToFit="false"/>
      <protection locked="true" hidden="false"/>
    </xf>
    <xf numFmtId="168" fontId="7" fillId="0" borderId="1" xfId="0" applyFont="true" applyBorder="true" applyAlignment="true" applyProtection="false">
      <alignment horizontal="right" vertical="center" textRotation="0" wrapText="false" indent="0" shrinkToFit="false"/>
      <protection locked="true" hidden="false"/>
    </xf>
    <xf numFmtId="168" fontId="10" fillId="4" borderId="1" xfId="0" applyFont="true" applyBorder="true" applyAlignment="true" applyProtection="false">
      <alignment horizontal="right" vertical="center" textRotation="0" wrapText="false" indent="0" shrinkToFit="false"/>
      <protection locked="true" hidden="false"/>
    </xf>
    <xf numFmtId="168" fontId="15" fillId="2" borderId="1" xfId="0" applyFont="true" applyBorder="true" applyAlignment="true" applyProtection="false">
      <alignment horizontal="right" vertical="center" textRotation="0" wrapText="false" indent="0" shrinkToFit="false"/>
      <protection locked="true" hidden="false"/>
    </xf>
    <xf numFmtId="164" fontId="16" fillId="2" borderId="1" xfId="0" applyFont="true" applyBorder="true" applyAlignment="true" applyProtection="false">
      <alignment horizontal="left" vertical="center" textRotation="0" wrapText="false" indent="0" shrinkToFit="false"/>
      <protection locked="true" hidden="false"/>
    </xf>
    <xf numFmtId="164" fontId="16" fillId="2" borderId="2" xfId="0" applyFont="true" applyBorder="true" applyAlignment="true" applyProtection="false">
      <alignment horizontal="center" vertical="center" textRotation="0" wrapText="false" indent="0" shrinkToFit="false"/>
      <protection locked="true" hidden="false"/>
    </xf>
    <xf numFmtId="164" fontId="17" fillId="6" borderId="2" xfId="0" applyFont="true" applyBorder="true" applyAlignment="true" applyProtection="false">
      <alignment horizontal="center" vertical="center" textRotation="0" wrapText="false" indent="0" shrinkToFit="false"/>
      <protection locked="true" hidden="false"/>
    </xf>
    <xf numFmtId="168" fontId="10" fillId="0" borderId="1" xfId="0" applyFont="true" applyBorder="true" applyAlignment="true" applyProtection="false">
      <alignment horizontal="right" vertical="center" textRotation="0" wrapText="false" indent="0" shrinkToFit="false"/>
      <protection locked="true" hidden="false"/>
    </xf>
    <xf numFmtId="164" fontId="13" fillId="0" borderId="1" xfId="0" applyFont="true" applyBorder="true" applyAlignment="true" applyProtection="false">
      <alignment horizontal="center" vertical="center" textRotation="0" wrapText="false" indent="0" shrinkToFit="false"/>
      <protection locked="true" hidden="false"/>
    </xf>
    <xf numFmtId="169" fontId="9" fillId="3" borderId="1" xfId="0" applyFont="true" applyBorder="true" applyAlignment="true" applyProtection="false">
      <alignment horizontal="right" vertical="center" textRotation="0" wrapText="false" indent="0" shrinkToFit="false"/>
      <protection locked="true" hidden="false"/>
    </xf>
    <xf numFmtId="167" fontId="10" fillId="0" borderId="1" xfId="0" applyFont="true" applyBorder="true" applyAlignment="true" applyProtection="false">
      <alignment horizontal="right" vertical="center" textRotation="0" wrapText="false" indent="0" shrinkToFit="false"/>
      <protection locked="true" hidden="false"/>
    </xf>
    <xf numFmtId="170" fontId="7" fillId="0" borderId="1" xfId="0" applyFont="true" applyBorder="true" applyAlignment="true" applyProtection="false">
      <alignment horizontal="right" vertical="center" textRotation="0" wrapText="false" indent="0" shrinkToFit="false"/>
      <protection locked="true" hidden="false"/>
    </xf>
    <xf numFmtId="171" fontId="9" fillId="3" borderId="1" xfId="0" applyFont="true" applyBorder="true" applyAlignment="true" applyProtection="false">
      <alignment horizontal="right" vertical="center" textRotation="0" wrapText="false" indent="0" shrinkToFit="false"/>
      <protection locked="true" hidden="false"/>
    </xf>
    <xf numFmtId="164" fontId="12" fillId="5" borderId="0" xfId="0" applyFont="true" applyBorder="false" applyAlignment="true" applyProtection="false">
      <alignment horizontal="left" vertical="center" textRotation="0" wrapText="false" indent="0" shrinkToFit="false"/>
      <protection locked="true" hidden="false"/>
    </xf>
    <xf numFmtId="168" fontId="8" fillId="5" borderId="1" xfId="0" applyFont="true" applyBorder="true" applyAlignment="true" applyProtection="false">
      <alignment horizontal="right" vertical="center" textRotation="0" wrapText="false" indent="0" shrinkToFit="false"/>
      <protection locked="true" hidden="false"/>
    </xf>
    <xf numFmtId="167" fontId="10" fillId="5" borderId="2" xfId="0" applyFont="true" applyBorder="true" applyAlignment="true" applyProtection="false">
      <alignment horizontal="center" vertical="center" textRotation="0" wrapText="false" indent="0" shrinkToFit="false"/>
      <protection locked="true" hidden="false"/>
    </xf>
    <xf numFmtId="171" fontId="7" fillId="0" borderId="1" xfId="0" applyFont="true" applyBorder="true" applyAlignment="true" applyProtection="false">
      <alignment horizontal="right" vertical="center" textRotation="0" wrapText="false" indent="0" shrinkToFit="false"/>
      <protection locked="true" hidden="false"/>
    </xf>
    <xf numFmtId="168" fontId="7" fillId="0" borderId="2" xfId="0" applyFont="true" applyBorder="true" applyAlignment="true" applyProtection="false">
      <alignment horizontal="right" vertical="center" textRotation="0" wrapText="false" indent="0" shrinkToFit="false"/>
      <protection locked="true" hidden="false"/>
    </xf>
    <xf numFmtId="168" fontId="10" fillId="0" borderId="2" xfId="0" applyFont="true" applyBorder="true" applyAlignment="true" applyProtection="false">
      <alignment horizontal="right" vertical="center" textRotation="0" wrapText="false" indent="0" shrinkToFit="false"/>
      <protection locked="true" hidden="false"/>
    </xf>
    <xf numFmtId="168" fontId="18" fillId="2" borderId="2" xfId="0" applyFont="true" applyBorder="true" applyAlignment="true" applyProtection="false">
      <alignment horizontal="right" vertical="center" textRotation="0" wrapText="false" indent="0" shrinkToFit="false"/>
      <protection locked="true" hidden="false"/>
    </xf>
    <xf numFmtId="165" fontId="7" fillId="0" borderId="2" xfId="0" applyFont="true" applyBorder="true" applyAlignment="true" applyProtection="false">
      <alignment horizontal="right" vertical="center" textRotation="0" wrapText="false" indent="0" shrinkToFit="false"/>
      <protection locked="true" hidden="false"/>
    </xf>
    <xf numFmtId="168" fontId="9" fillId="3" borderId="2" xfId="0" applyFont="true" applyBorder="true" applyAlignment="true" applyProtection="false">
      <alignment horizontal="right" vertical="center" textRotation="0" wrapText="false" indent="0" shrinkToFit="false"/>
      <protection locked="true" hidden="false"/>
    </xf>
    <xf numFmtId="172" fontId="9" fillId="3" borderId="2" xfId="0" applyFont="true" applyBorder="true" applyAlignment="true" applyProtection="false">
      <alignment horizontal="right" vertical="center" textRotation="0" wrapText="false" indent="0" shrinkToFit="false"/>
      <protection locked="true" hidden="false"/>
    </xf>
    <xf numFmtId="164" fontId="19" fillId="5" borderId="0" xfId="0" applyFont="true" applyBorder="false" applyAlignment="true" applyProtection="false">
      <alignment horizontal="left" vertical="center" textRotation="0" wrapText="false" indent="0" shrinkToFit="false"/>
      <protection locked="true" hidden="false"/>
    </xf>
    <xf numFmtId="173" fontId="19" fillId="5" borderId="2" xfId="0" applyFont="true" applyBorder="true" applyAlignment="true" applyProtection="false">
      <alignment horizontal="right" vertical="center" textRotation="0" wrapText="false" indent="0" shrinkToFit="false"/>
      <protection locked="true" hidden="false"/>
    </xf>
    <xf numFmtId="168" fontId="10" fillId="5" borderId="1" xfId="0" applyFont="true" applyBorder="true" applyAlignment="true" applyProtection="false">
      <alignment horizontal="righ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5" fontId="16" fillId="2" borderId="1" xfId="0" applyFont="true" applyBorder="true" applyAlignment="true" applyProtection="false">
      <alignment horizontal="center" vertical="center" textRotation="0" wrapText="false" indent="0" shrinkToFit="false"/>
      <protection locked="true" hidden="false"/>
    </xf>
    <xf numFmtId="168" fontId="12" fillId="5" borderId="1" xfId="0" applyFont="true" applyBorder="true" applyAlignment="true" applyProtection="false">
      <alignment horizontal="right" vertical="center" textRotation="0" wrapText="false" indent="0" shrinkToFit="false"/>
      <protection locked="true" hidden="false"/>
    </xf>
    <xf numFmtId="164" fontId="13" fillId="7" borderId="0" xfId="0" applyFont="true" applyBorder="true" applyAlignment="true" applyProtection="false">
      <alignment horizontal="left" vertical="center" textRotation="0" wrapText="true" indent="0" shrinkToFit="false"/>
      <protection locked="true" hidden="false"/>
    </xf>
    <xf numFmtId="164" fontId="16" fillId="2" borderId="1" xfId="0" applyFont="true" applyBorder="true" applyAlignment="true" applyProtection="false">
      <alignment horizontal="right" vertical="center" textRotation="0" wrapText="false" indent="0" shrinkToFit="false"/>
      <protection locked="true" hidden="false"/>
    </xf>
    <xf numFmtId="169" fontId="9" fillId="3" borderId="1" xfId="0" applyFont="true" applyBorder="true" applyAlignment="true" applyProtection="false">
      <alignment horizontal="center" vertical="center" textRotation="0" wrapText="false" indent="0" shrinkToFit="false"/>
      <protection locked="true" hidden="false"/>
    </xf>
    <xf numFmtId="168" fontId="12" fillId="5" borderId="2" xfId="0" applyFont="true" applyBorder="true" applyAlignment="true" applyProtection="false">
      <alignment horizontal="righ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C27B0"/>
      <rgbColor rgb="FFFFFACD"/>
      <rgbColor rgb="FFE6E8ED"/>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F7F9FC"/>
      <rgbColor rgb="FFFFFBE9"/>
      <rgbColor rgb="FFFFF8E1"/>
      <rgbColor rgb="FF99CCFF"/>
      <rgbColor rgb="FFFF99CC"/>
      <rgbColor rgb="FFCC99FF"/>
      <rgbColor rgb="FFFFCC99"/>
      <rgbColor rgb="FF3366FF"/>
      <rgbColor rgb="FF33CCCC"/>
      <rgbColor rgb="FF99CC00"/>
      <rgbColor rgb="FFF8C10B"/>
      <rgbColor rgb="FFFF9900"/>
      <rgbColor rgb="FFFF6B35"/>
      <rgbColor rgb="FF666666"/>
      <rgbColor rgb="FF969696"/>
      <rgbColor rgb="FF003366"/>
      <rgbColor rgb="FF16A34A"/>
      <rgbColor rgb="FF0B1020"/>
      <rgbColor rgb="FF333300"/>
      <rgbColor rgb="FF993300"/>
      <rgbColor rgb="FF993366"/>
      <rgbColor rgb="FF333399"/>
      <rgbColor rgb="FF555555"/>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4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95"/>
  </cols>
  <sheetData>
    <row r="1" customFormat="false" ht="19.5" hidden="false" customHeight="true" outlineLevel="0" collapsed="false">
      <c r="A1" s="2" t="s">
        <v>0</v>
      </c>
      <c r="B1" s="2"/>
    </row>
    <row r="2" customFormat="false" ht="19.5" hidden="false" customHeight="true" outlineLevel="0" collapsed="false">
      <c r="A2" s="2"/>
      <c r="B2" s="2"/>
    </row>
    <row r="3" customFormat="false" ht="18" hidden="false" customHeight="true" outlineLevel="0" collapsed="false">
      <c r="A3" s="3" t="s">
        <v>1</v>
      </c>
      <c r="B3" s="3"/>
    </row>
    <row r="4" customFormat="false" ht="7.5" hidden="false" customHeight="true" outlineLevel="0" collapsed="false"/>
    <row r="5" customFormat="false" ht="21.75" hidden="false" customHeight="true" outlineLevel="0" collapsed="false">
      <c r="B5" s="4" t="s">
        <v>2</v>
      </c>
    </row>
    <row r="6" customFormat="false" ht="63.75" hidden="false" customHeight="true" outlineLevel="0" collapsed="false">
      <c r="B6" s="5" t="s">
        <v>3</v>
      </c>
    </row>
    <row r="7" customFormat="false" ht="7.5" hidden="false" customHeight="true" outlineLevel="0" collapsed="false"/>
    <row r="8" customFormat="false" ht="21.75" hidden="false" customHeight="true" outlineLevel="0" collapsed="false">
      <c r="B8" s="6" t="s">
        <v>4</v>
      </c>
    </row>
    <row r="9" customFormat="false" ht="48" hidden="false" customHeight="true" outlineLevel="0" collapsed="false">
      <c r="B9" s="5" t="s">
        <v>5</v>
      </c>
    </row>
    <row r="10" customFormat="false" ht="7.5" hidden="false" customHeight="true" outlineLevel="0" collapsed="false"/>
    <row r="11" customFormat="false" ht="21.75" hidden="false" customHeight="true" outlineLevel="0" collapsed="false">
      <c r="B11" s="6" t="s">
        <v>6</v>
      </c>
    </row>
    <row r="12" customFormat="false" ht="48" hidden="false" customHeight="true" outlineLevel="0" collapsed="false">
      <c r="B12" s="5" t="s">
        <v>7</v>
      </c>
    </row>
    <row r="13" customFormat="false" ht="7.5" hidden="false" customHeight="true" outlineLevel="0" collapsed="false"/>
    <row r="14" customFormat="false" ht="21.75" hidden="false" customHeight="true" outlineLevel="0" collapsed="false">
      <c r="B14" s="6" t="s">
        <v>8</v>
      </c>
    </row>
    <row r="15" customFormat="false" ht="48" hidden="false" customHeight="true" outlineLevel="0" collapsed="false">
      <c r="B15" s="5" t="s">
        <v>9</v>
      </c>
    </row>
    <row r="16" customFormat="false" ht="7.5" hidden="false" customHeight="true" outlineLevel="0" collapsed="false"/>
    <row r="17" customFormat="false" ht="21.75" hidden="false" customHeight="true" outlineLevel="0" collapsed="false">
      <c r="B17" s="6" t="s">
        <v>10</v>
      </c>
    </row>
    <row r="18" customFormat="false" ht="48" hidden="false" customHeight="true" outlineLevel="0" collapsed="false">
      <c r="B18" s="5" t="s">
        <v>11</v>
      </c>
    </row>
    <row r="19" customFormat="false" ht="7.5" hidden="false" customHeight="true" outlineLevel="0" collapsed="false"/>
    <row r="20" customFormat="false" ht="21.75" hidden="false" customHeight="true" outlineLevel="0" collapsed="false">
      <c r="B20" s="6" t="s">
        <v>12</v>
      </c>
    </row>
    <row r="21" customFormat="false" ht="48" hidden="false" customHeight="true" outlineLevel="0" collapsed="false">
      <c r="B21" s="5" t="s">
        <v>13</v>
      </c>
    </row>
    <row r="22" customFormat="false" ht="7.5" hidden="false" customHeight="true" outlineLevel="0" collapsed="false"/>
    <row r="23" customFormat="false" ht="21.75" hidden="false" customHeight="true" outlineLevel="0" collapsed="false">
      <c r="B23" s="6" t="s">
        <v>14</v>
      </c>
    </row>
    <row r="24" customFormat="false" ht="48" hidden="false" customHeight="true" outlineLevel="0" collapsed="false">
      <c r="B24" s="5" t="s">
        <v>15</v>
      </c>
    </row>
    <row r="25" customFormat="false" ht="7.5" hidden="false" customHeight="true" outlineLevel="0" collapsed="false"/>
    <row r="26" customFormat="false" ht="31.5" hidden="false" customHeight="true" outlineLevel="0" collapsed="false">
      <c r="B26" s="5" t="s">
        <v>16</v>
      </c>
    </row>
    <row r="27" customFormat="false" ht="7.5" hidden="false" customHeight="true" outlineLevel="0" collapsed="false"/>
    <row r="29" customFormat="false" ht="21.75" hidden="false" customHeight="true" outlineLevel="0" collapsed="false">
      <c r="B29" s="4" t="s">
        <v>17</v>
      </c>
    </row>
    <row r="30" customFormat="false" ht="19.5" hidden="false" customHeight="true" outlineLevel="0" collapsed="false">
      <c r="A30" s="7" t="s">
        <v>18</v>
      </c>
      <c r="B30" s="8" t="s">
        <v>19</v>
      </c>
    </row>
    <row r="31" customFormat="false" ht="19.5" hidden="false" customHeight="true" outlineLevel="0" collapsed="false">
      <c r="A31" s="9" t="s">
        <v>20</v>
      </c>
      <c r="B31" s="8" t="s">
        <v>21</v>
      </c>
    </row>
    <row r="32" customFormat="false" ht="19.5" hidden="false" customHeight="true" outlineLevel="0" collapsed="false">
      <c r="A32" s="10" t="s">
        <v>22</v>
      </c>
      <c r="B32" s="8" t="s">
        <v>23</v>
      </c>
    </row>
    <row r="33" customFormat="false" ht="19.5" hidden="false" customHeight="true" outlineLevel="0" collapsed="false">
      <c r="A33" s="11" t="s">
        <v>24</v>
      </c>
      <c r="B33" s="8" t="s">
        <v>25</v>
      </c>
    </row>
    <row r="34" customFormat="false" ht="19.5" hidden="false" customHeight="true" outlineLevel="0" collapsed="false">
      <c r="A34" s="12" t="s">
        <v>26</v>
      </c>
      <c r="B34" s="8" t="s">
        <v>27</v>
      </c>
    </row>
    <row r="35" customFormat="false" ht="19.5" hidden="false" customHeight="true" outlineLevel="0" collapsed="false">
      <c r="A35" s="13" t="s">
        <v>28</v>
      </c>
      <c r="B35" s="8" t="s">
        <v>29</v>
      </c>
    </row>
    <row r="38" customFormat="false" ht="21.75" hidden="false" customHeight="true" outlineLevel="0" collapsed="false">
      <c r="B38" s="4" t="s">
        <v>30</v>
      </c>
    </row>
    <row r="39" customFormat="false" ht="63.75" hidden="false" customHeight="true" outlineLevel="0" collapsed="false">
      <c r="B39" s="5" t="s">
        <v>31</v>
      </c>
    </row>
    <row r="40" customFormat="false" ht="48" hidden="false" customHeight="true" outlineLevel="0" collapsed="false">
      <c r="B40" s="5" t="s">
        <v>32</v>
      </c>
    </row>
    <row r="41" customFormat="false" ht="63.75" hidden="false" customHeight="true" outlineLevel="0" collapsed="false">
      <c r="B41" s="5" t="s">
        <v>33</v>
      </c>
    </row>
    <row r="42" customFormat="false" ht="48" hidden="false" customHeight="true" outlineLevel="0" collapsed="false">
      <c r="B42" s="5" t="s">
        <v>34</v>
      </c>
    </row>
    <row r="43" customFormat="false" ht="48" hidden="false" customHeight="true" outlineLevel="0" collapsed="false">
      <c r="B43" s="5" t="s">
        <v>35</v>
      </c>
    </row>
  </sheetData>
  <mergeCells count="2">
    <mergeCell ref="A1:B2"/>
    <mergeCell ref="A3:B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6A34A"/>
    <pageSetUpPr fitToPage="false"/>
  </sheetPr>
  <dimension ref="A1:D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8"/>
    <col collapsed="false" customWidth="true" hidden="false" outlineLevel="0" max="2" min="2" style="1" width="14"/>
    <col collapsed="false" customWidth="true" hidden="false" outlineLevel="0" max="3" min="3" style="1" width="32"/>
    <col collapsed="false" customWidth="true" hidden="false" outlineLevel="0" max="4" min="4" style="1" width="18"/>
  </cols>
  <sheetData>
    <row r="1" customFormat="false" ht="18" hidden="false" customHeight="true" outlineLevel="0" collapsed="false">
      <c r="A1" s="2" t="s">
        <v>36</v>
      </c>
      <c r="B1" s="2"/>
      <c r="C1" s="2"/>
      <c r="D1" s="2"/>
    </row>
    <row r="2" customFormat="false" ht="18" hidden="false" customHeight="true" outlineLevel="0" collapsed="false">
      <c r="A2" s="2"/>
      <c r="B2" s="2"/>
      <c r="C2" s="2"/>
      <c r="D2" s="2"/>
    </row>
    <row r="3" customFormat="false" ht="7.5" hidden="false" customHeight="true" outlineLevel="0" collapsed="false"/>
    <row r="4" customFormat="false" ht="21.75" hidden="false" customHeight="true" outlineLevel="0" collapsed="false">
      <c r="A4" s="14" t="s">
        <v>37</v>
      </c>
      <c r="B4" s="14"/>
      <c r="C4" s="14"/>
      <c r="D4" s="14"/>
    </row>
    <row r="5" customFormat="false" ht="18" hidden="false" customHeight="true" outlineLevel="0" collapsed="false">
      <c r="A5" s="8" t="s">
        <v>38</v>
      </c>
      <c r="B5" s="15" t="n">
        <v>0.045</v>
      </c>
      <c r="C5" s="16" t="s">
        <v>39</v>
      </c>
    </row>
    <row r="6" customFormat="false" ht="18" hidden="false" customHeight="true" outlineLevel="0" collapsed="false">
      <c r="A6" s="8" t="s">
        <v>40</v>
      </c>
      <c r="B6" s="15" t="n">
        <v>0.055</v>
      </c>
      <c r="C6" s="16" t="s">
        <v>41</v>
      </c>
    </row>
    <row r="7" customFormat="false" ht="18" hidden="false" customHeight="true" outlineLevel="0" collapsed="false">
      <c r="A7" s="8" t="s">
        <v>42</v>
      </c>
      <c r="B7" s="17" t="n">
        <v>1.1</v>
      </c>
      <c r="C7" s="16" t="s">
        <v>43</v>
      </c>
    </row>
    <row r="8" customFormat="false" ht="18" hidden="false" customHeight="true" outlineLevel="0" collapsed="false">
      <c r="A8" s="18" t="s">
        <v>44</v>
      </c>
      <c r="B8" s="19" t="n">
        <f aca="false">B5+B7*B6</f>
        <v>0.1055</v>
      </c>
      <c r="C8" s="16" t="s">
        <v>45</v>
      </c>
    </row>
    <row r="10" customFormat="false" ht="21.75" hidden="false" customHeight="true" outlineLevel="0" collapsed="false">
      <c r="A10" s="14" t="s">
        <v>46</v>
      </c>
      <c r="B10" s="14"/>
      <c r="C10" s="14"/>
      <c r="D10" s="14"/>
    </row>
    <row r="11" customFormat="false" ht="18" hidden="false" customHeight="true" outlineLevel="0" collapsed="false">
      <c r="A11" s="8" t="s">
        <v>47</v>
      </c>
      <c r="B11" s="15" t="n">
        <v>0.055</v>
      </c>
      <c r="C11" s="16" t="s">
        <v>48</v>
      </c>
    </row>
    <row r="12" customFormat="false" ht="18" hidden="false" customHeight="true" outlineLevel="0" collapsed="false">
      <c r="A12" s="8" t="s">
        <v>49</v>
      </c>
      <c r="B12" s="15" t="n">
        <v>0.25</v>
      </c>
      <c r="C12" s="16" t="s">
        <v>50</v>
      </c>
    </row>
    <row r="13" customFormat="false" ht="18" hidden="false" customHeight="true" outlineLevel="0" collapsed="false">
      <c r="A13" s="18" t="s">
        <v>51</v>
      </c>
      <c r="B13" s="19" t="n">
        <f aca="false">B11*(1-B12)</f>
        <v>0.04125</v>
      </c>
      <c r="C13" s="16" t="s">
        <v>52</v>
      </c>
    </row>
    <row r="15" customFormat="false" ht="21.75" hidden="false" customHeight="true" outlineLevel="0" collapsed="false">
      <c r="A15" s="14" t="s">
        <v>53</v>
      </c>
      <c r="B15" s="14"/>
      <c r="C15" s="14"/>
      <c r="D15" s="14"/>
    </row>
    <row r="16" customFormat="false" ht="18" hidden="false" customHeight="true" outlineLevel="0" collapsed="false">
      <c r="A16" s="8" t="s">
        <v>54</v>
      </c>
      <c r="B16" s="15" t="n">
        <v>0.8</v>
      </c>
      <c r="C16" s="16" t="s">
        <v>55</v>
      </c>
    </row>
    <row r="17" customFormat="false" ht="18" hidden="false" customHeight="true" outlineLevel="0" collapsed="false">
      <c r="A17" s="8" t="s">
        <v>56</v>
      </c>
      <c r="B17" s="20" t="n">
        <f aca="false">1-B16</f>
        <v>0.2</v>
      </c>
      <c r="C17" s="16" t="s">
        <v>57</v>
      </c>
    </row>
    <row r="19" customFormat="false" ht="21.75" hidden="false" customHeight="true" outlineLevel="0" collapsed="false">
      <c r="A19" s="14" t="s">
        <v>58</v>
      </c>
      <c r="B19" s="14"/>
      <c r="C19" s="14"/>
      <c r="D19" s="14"/>
    </row>
    <row r="20" customFormat="false" ht="18" hidden="false" customHeight="true" outlineLevel="0" collapsed="false">
      <c r="A20" s="21" t="s">
        <v>59</v>
      </c>
      <c r="B20" s="22" t="n">
        <f aca="false">B16*B8</f>
        <v>0.0844</v>
      </c>
    </row>
    <row r="21" customFormat="false" ht="18" hidden="false" customHeight="true" outlineLevel="0" collapsed="false">
      <c r="A21" s="21" t="s">
        <v>60</v>
      </c>
      <c r="B21" s="22" t="n">
        <f aca="false">B17*B13</f>
        <v>0.00825</v>
      </c>
    </row>
    <row r="22" customFormat="false" ht="24" hidden="false" customHeight="true" outlineLevel="0" collapsed="false">
      <c r="A22" s="23" t="s">
        <v>61</v>
      </c>
      <c r="B22" s="24" t="n">
        <f aca="false">B16*B8+B17*B13</f>
        <v>0.09265</v>
      </c>
      <c r="C22" s="16" t="s">
        <v>62</v>
      </c>
    </row>
  </sheetData>
  <mergeCells count="5">
    <mergeCell ref="A1:D2"/>
    <mergeCell ref="A4:D4"/>
    <mergeCell ref="A10:D10"/>
    <mergeCell ref="A15:D15"/>
    <mergeCell ref="A19:D1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G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8"/>
    <col collapsed="false" customWidth="true" hidden="false" outlineLevel="0" max="6" min="2" style="1" width="14"/>
    <col collapsed="false" customWidth="true" hidden="false" outlineLevel="0" max="7" min="7" style="1" width="32"/>
  </cols>
  <sheetData>
    <row r="1" customFormat="false" ht="18" hidden="false" customHeight="true" outlineLevel="0" collapsed="false">
      <c r="A1" s="2" t="s">
        <v>63</v>
      </c>
      <c r="B1" s="2"/>
      <c r="C1" s="2"/>
      <c r="D1" s="2"/>
      <c r="E1" s="2"/>
      <c r="F1" s="2"/>
      <c r="G1" s="2"/>
    </row>
    <row r="2" customFormat="false" ht="18" hidden="false" customHeight="true" outlineLevel="0" collapsed="false">
      <c r="A2" s="2"/>
      <c r="B2" s="2"/>
      <c r="C2" s="2"/>
      <c r="D2" s="2"/>
      <c r="E2" s="2"/>
      <c r="F2" s="2"/>
      <c r="G2" s="2"/>
    </row>
    <row r="3" customFormat="false" ht="21.75" hidden="false" customHeight="true" outlineLevel="0" collapsed="false">
      <c r="A3" s="25"/>
      <c r="B3" s="26" t="s">
        <v>64</v>
      </c>
      <c r="C3" s="26" t="s">
        <v>65</v>
      </c>
      <c r="D3" s="26" t="s">
        <v>66</v>
      </c>
      <c r="E3" s="26" t="s">
        <v>67</v>
      </c>
      <c r="F3" s="26" t="s">
        <v>68</v>
      </c>
      <c r="G3" s="27" t="s">
        <v>69</v>
      </c>
    </row>
    <row r="4" customFormat="false" ht="18" hidden="false" customHeight="true" outlineLevel="0" collapsed="false">
      <c r="A4" s="28" t="s">
        <v>70</v>
      </c>
      <c r="B4" s="29" t="n">
        <v>1295</v>
      </c>
      <c r="C4" s="29" t="n">
        <v>1399</v>
      </c>
      <c r="D4" s="29" t="n">
        <v>1496</v>
      </c>
      <c r="E4" s="29" t="n">
        <v>1586</v>
      </c>
      <c r="F4" s="29" t="n">
        <v>1666</v>
      </c>
      <c r="G4" s="16" t="s">
        <v>71</v>
      </c>
    </row>
    <row r="5" customFormat="false" ht="18" hidden="false" customHeight="true" outlineLevel="0" collapsed="false">
      <c r="A5" s="8" t="s">
        <v>72</v>
      </c>
      <c r="B5" s="15" t="n">
        <v>0.31</v>
      </c>
      <c r="C5" s="15" t="n">
        <v>0.32</v>
      </c>
      <c r="D5" s="15" t="n">
        <v>0.32</v>
      </c>
      <c r="E5" s="15" t="n">
        <v>0.32</v>
      </c>
      <c r="F5" s="15" t="n">
        <v>0.32</v>
      </c>
      <c r="G5" s="16" t="s">
        <v>73</v>
      </c>
    </row>
    <row r="6" customFormat="false" ht="18" hidden="false" customHeight="true" outlineLevel="0" collapsed="false">
      <c r="A6" s="8" t="s">
        <v>74</v>
      </c>
      <c r="B6" s="15" t="n">
        <v>0.17</v>
      </c>
      <c r="C6" s="15" t="n">
        <v>0.16</v>
      </c>
      <c r="D6" s="15" t="n">
        <v>0.16</v>
      </c>
      <c r="E6" s="15" t="n">
        <v>0.16</v>
      </c>
      <c r="F6" s="15" t="n">
        <v>0.16</v>
      </c>
    </row>
    <row r="7" customFormat="false" ht="18" hidden="false" customHeight="true" outlineLevel="0" collapsed="false">
      <c r="A7" s="18" t="s">
        <v>75</v>
      </c>
      <c r="B7" s="30" t="n">
        <f aca="false">B4*(B5-B6)</f>
        <v>181.3</v>
      </c>
      <c r="C7" s="30" t="n">
        <f aca="false">C4*(C5-C6)</f>
        <v>223.84</v>
      </c>
      <c r="D7" s="30" t="n">
        <f aca="false">D4*(D5-D6)</f>
        <v>239.36</v>
      </c>
      <c r="E7" s="30" t="n">
        <f aca="false">E4*(E5-E6)</f>
        <v>253.76</v>
      </c>
      <c r="F7" s="30" t="n">
        <f aca="false">F4*(F5-F6)</f>
        <v>266.56</v>
      </c>
      <c r="G7" s="16" t="s">
        <v>76</v>
      </c>
    </row>
    <row r="8" customFormat="false" ht="18" hidden="false" customHeight="true" outlineLevel="0" collapsed="false">
      <c r="A8" s="8" t="s">
        <v>77</v>
      </c>
      <c r="B8" s="15" t="n">
        <v>0.04</v>
      </c>
      <c r="C8" s="15" t="n">
        <v>0.04</v>
      </c>
      <c r="D8" s="15" t="n">
        <v>0.04</v>
      </c>
      <c r="E8" s="15" t="n">
        <v>0.04</v>
      </c>
      <c r="F8" s="15" t="n">
        <v>0.04</v>
      </c>
    </row>
    <row r="9" customFormat="false" ht="18" hidden="false" customHeight="true" outlineLevel="0" collapsed="false">
      <c r="A9" s="21" t="s">
        <v>78</v>
      </c>
      <c r="B9" s="31" t="n">
        <f aca="false">B4*B8</f>
        <v>51.8</v>
      </c>
      <c r="C9" s="31" t="n">
        <f aca="false">C4*C8</f>
        <v>55.96</v>
      </c>
      <c r="D9" s="31" t="n">
        <f aca="false">D4*D8</f>
        <v>59.84</v>
      </c>
      <c r="E9" s="31" t="n">
        <f aca="false">E4*E8</f>
        <v>63.44</v>
      </c>
      <c r="F9" s="31" t="n">
        <f aca="false">F4*F8</f>
        <v>66.64</v>
      </c>
    </row>
    <row r="10" customFormat="false" ht="18" hidden="false" customHeight="true" outlineLevel="0" collapsed="false">
      <c r="A10" s="18" t="s">
        <v>79</v>
      </c>
      <c r="B10" s="30" t="n">
        <f aca="false">B7-B9</f>
        <v>129.5</v>
      </c>
      <c r="C10" s="30" t="n">
        <f aca="false">C7-C9</f>
        <v>167.88</v>
      </c>
      <c r="D10" s="30" t="n">
        <f aca="false">D7-D9</f>
        <v>179.52</v>
      </c>
      <c r="E10" s="30" t="n">
        <f aca="false">E7-E9</f>
        <v>190.32</v>
      </c>
      <c r="F10" s="30" t="n">
        <f aca="false">F7-F9</f>
        <v>199.92</v>
      </c>
      <c r="G10" s="16" t="s">
        <v>80</v>
      </c>
    </row>
    <row r="11" customFormat="false" ht="18" hidden="false" customHeight="true" outlineLevel="0" collapsed="false">
      <c r="A11" s="18" t="s">
        <v>81</v>
      </c>
      <c r="B11" s="32" t="n">
        <f aca="false">B10*(1-WACC!$B$12)</f>
        <v>97.125</v>
      </c>
      <c r="C11" s="32" t="n">
        <f aca="false">C10*(1-WACC!$B$12)</f>
        <v>125.91</v>
      </c>
      <c r="D11" s="32" t="n">
        <f aca="false">D10*(1-WACC!$B$12)</f>
        <v>134.64</v>
      </c>
      <c r="E11" s="32" t="n">
        <f aca="false">E10*(1-WACC!$B$12)</f>
        <v>142.74</v>
      </c>
      <c r="F11" s="32" t="n">
        <f aca="false">F10*(1-WACC!$B$12)</f>
        <v>149.94</v>
      </c>
      <c r="G11" s="16" t="s">
        <v>82</v>
      </c>
    </row>
    <row r="12" customFormat="false" ht="18" hidden="false" customHeight="true" outlineLevel="0" collapsed="false">
      <c r="A12" s="21" t="s">
        <v>83</v>
      </c>
      <c r="B12" s="31" t="n">
        <f aca="false">B9</f>
        <v>51.8</v>
      </c>
      <c r="C12" s="31" t="n">
        <f aca="false">C9</f>
        <v>55.96</v>
      </c>
      <c r="D12" s="31" t="n">
        <f aca="false">D9</f>
        <v>59.84</v>
      </c>
      <c r="E12" s="31" t="n">
        <f aca="false">E9</f>
        <v>63.44</v>
      </c>
      <c r="F12" s="31" t="n">
        <f aca="false">F9</f>
        <v>66.64</v>
      </c>
    </row>
    <row r="13" customFormat="false" ht="18" hidden="false" customHeight="true" outlineLevel="0" collapsed="false">
      <c r="A13" s="8" t="s">
        <v>84</v>
      </c>
      <c r="B13" s="15" t="n">
        <v>0.06</v>
      </c>
      <c r="C13" s="15" t="n">
        <v>0.06</v>
      </c>
      <c r="D13" s="15" t="n">
        <v>0.05</v>
      </c>
      <c r="E13" s="15" t="n">
        <v>0.05</v>
      </c>
      <c r="F13" s="15" t="n">
        <v>0.05</v>
      </c>
    </row>
    <row r="14" customFormat="false" ht="18" hidden="false" customHeight="true" outlineLevel="0" collapsed="false">
      <c r="A14" s="21" t="s">
        <v>85</v>
      </c>
      <c r="B14" s="31" t="n">
        <f aca="false">-B4*B13</f>
        <v>-77.7</v>
      </c>
      <c r="C14" s="31" t="n">
        <f aca="false">-C4*C13</f>
        <v>-83.94</v>
      </c>
      <c r="D14" s="31" t="n">
        <f aca="false">-D4*D13</f>
        <v>-74.8</v>
      </c>
      <c r="E14" s="31" t="n">
        <f aca="false">-E4*E13</f>
        <v>-79.3</v>
      </c>
      <c r="F14" s="31" t="n">
        <f aca="false">-F4*F13</f>
        <v>-83.3</v>
      </c>
    </row>
    <row r="15" customFormat="false" ht="18" hidden="false" customHeight="true" outlineLevel="0" collapsed="false">
      <c r="A15" s="8" t="s">
        <v>86</v>
      </c>
      <c r="B15" s="15" t="n">
        <v>0.1</v>
      </c>
      <c r="C15" s="15" t="n">
        <v>0.1</v>
      </c>
      <c r="D15" s="15" t="n">
        <v>0.1</v>
      </c>
      <c r="E15" s="15" t="n">
        <v>0.1</v>
      </c>
      <c r="F15" s="15" t="n">
        <v>0.1</v>
      </c>
    </row>
    <row r="16" customFormat="false" ht="18" hidden="false" customHeight="true" outlineLevel="0" collapsed="false">
      <c r="A16" s="21" t="s">
        <v>87</v>
      </c>
      <c r="B16" s="31" t="n">
        <f aca="false">-(B4-1199)*B15</f>
        <v>-9.6</v>
      </c>
      <c r="C16" s="31" t="n">
        <f aca="false">-(C4-B4)*C15</f>
        <v>-10.4</v>
      </c>
      <c r="D16" s="31" t="n">
        <f aca="false">-(D4-C4)*D15</f>
        <v>-9.7</v>
      </c>
      <c r="E16" s="31" t="n">
        <f aca="false">-(E4-D4)*E15</f>
        <v>-9</v>
      </c>
      <c r="F16" s="31" t="n">
        <f aca="false">-(F4-E4)*F15</f>
        <v>-8</v>
      </c>
      <c r="G16" s="16" t="s">
        <v>88</v>
      </c>
    </row>
    <row r="17" customFormat="false" ht="24" hidden="false" customHeight="true" outlineLevel="0" collapsed="false">
      <c r="A17" s="23" t="s">
        <v>89</v>
      </c>
      <c r="B17" s="33" t="n">
        <f aca="false">B11+B12+B14+B16</f>
        <v>61.625</v>
      </c>
      <c r="C17" s="33" t="n">
        <f aca="false">C11+C12+C14+C16</f>
        <v>87.53</v>
      </c>
      <c r="D17" s="33" t="n">
        <f aca="false">D11+D12+D14+D16</f>
        <v>109.98</v>
      </c>
      <c r="E17" s="33" t="n">
        <f aca="false">E11+E12+E14+E16</f>
        <v>117.88</v>
      </c>
      <c r="F17" s="33" t="n">
        <f aca="false">F11+F12+F14+F16</f>
        <v>125.28</v>
      </c>
      <c r="G17" s="16" t="s">
        <v>90</v>
      </c>
    </row>
    <row r="19" customFormat="false" ht="18" hidden="false" customHeight="true" outlineLevel="0" collapsed="false">
      <c r="A19" s="21" t="s">
        <v>91</v>
      </c>
      <c r="B19" s="20" t="n">
        <f aca="false">B4/1199-1</f>
        <v>0.0800667222685572</v>
      </c>
      <c r="C19" s="20" t="n">
        <f aca="false">C4/B4-1</f>
        <v>0.0803088803088803</v>
      </c>
      <c r="D19" s="20" t="n">
        <f aca="false">D4/C4-1</f>
        <v>0.0693352394567548</v>
      </c>
      <c r="E19" s="20" t="n">
        <f aca="false">E4/D4-1</f>
        <v>0.0601604278074865</v>
      </c>
      <c r="F19" s="20" t="n">
        <f aca="false">F4/E4-1</f>
        <v>0.0504413619167718</v>
      </c>
    </row>
    <row r="20" customFormat="false" ht="18" hidden="false" customHeight="true" outlineLevel="0" collapsed="false">
      <c r="A20" s="21" t="s">
        <v>92</v>
      </c>
      <c r="B20" s="20" t="n">
        <f aca="false">B7/B4</f>
        <v>0.14</v>
      </c>
      <c r="C20" s="20" t="n">
        <f aca="false">C7/C4</f>
        <v>0.16</v>
      </c>
      <c r="D20" s="20" t="n">
        <f aca="false">D7/D4</f>
        <v>0.16</v>
      </c>
      <c r="E20" s="20" t="n">
        <f aca="false">E7/E4</f>
        <v>0.16</v>
      </c>
      <c r="F20" s="20" t="n">
        <f aca="false">F7/F4</f>
        <v>0.16</v>
      </c>
    </row>
    <row r="21" customFormat="false" ht="18" hidden="false" customHeight="true" outlineLevel="0" collapsed="false">
      <c r="A21" s="21" t="s">
        <v>93</v>
      </c>
      <c r="B21" s="20" t="n">
        <f aca="false">B17/B4</f>
        <v>0.0475868725868726</v>
      </c>
      <c r="C21" s="20" t="n">
        <f aca="false">C17/C4</f>
        <v>0.062566118656183</v>
      </c>
      <c r="D21" s="20" t="n">
        <f aca="false">D17/D4</f>
        <v>0.0735160427807487</v>
      </c>
      <c r="E21" s="20" t="n">
        <f aca="false">E17/E4</f>
        <v>0.0743253467843632</v>
      </c>
      <c r="F21" s="20" t="n">
        <f aca="false">F17/F4</f>
        <v>0.0751980792316927</v>
      </c>
    </row>
  </sheetData>
  <mergeCells count="1">
    <mergeCell ref="A1:G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6B35"/>
    <pageSetUpPr fitToPage="false"/>
  </sheetPr>
  <dimension ref="A1:E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8"/>
    <col collapsed="false" customWidth="true" hidden="false" outlineLevel="0" max="2" min="2" style="1" width="16"/>
    <col collapsed="false" customWidth="true" hidden="false" outlineLevel="0" max="3" min="3" style="1" width="30"/>
    <col collapsed="false" customWidth="true" hidden="false" outlineLevel="0" max="4" min="4" style="1" width="16"/>
    <col collapsed="false" customWidth="true" hidden="false" outlineLevel="0" max="5" min="5" style="1" width="30"/>
  </cols>
  <sheetData>
    <row r="1" customFormat="false" ht="18" hidden="false" customHeight="true" outlineLevel="0" collapsed="false">
      <c r="A1" s="2" t="s">
        <v>94</v>
      </c>
      <c r="B1" s="2"/>
      <c r="C1" s="2"/>
      <c r="D1" s="2"/>
      <c r="E1" s="2"/>
    </row>
    <row r="2" customFormat="false" ht="18" hidden="false" customHeight="true" outlineLevel="0" collapsed="false">
      <c r="A2" s="2"/>
      <c r="B2" s="2"/>
      <c r="C2" s="2"/>
      <c r="D2" s="2"/>
      <c r="E2" s="2"/>
    </row>
    <row r="3" customFormat="false" ht="7.5" hidden="false" customHeight="true" outlineLevel="0" collapsed="false"/>
    <row r="4" customFormat="false" ht="21.75" hidden="false" customHeight="true" outlineLevel="0" collapsed="false">
      <c r="A4" s="34" t="s">
        <v>95</v>
      </c>
      <c r="B4" s="35" t="s">
        <v>96</v>
      </c>
      <c r="C4" s="35"/>
      <c r="D4" s="36" t="s">
        <v>97</v>
      </c>
      <c r="E4" s="36"/>
    </row>
    <row r="5" customFormat="false" ht="18" hidden="false" customHeight="true" outlineLevel="0" collapsed="false">
      <c r="A5" s="8" t="s">
        <v>98</v>
      </c>
      <c r="B5" s="37" t="n">
        <f aca="false">'FCFF Projection'!F17</f>
        <v>125.28</v>
      </c>
      <c r="C5" s="16" t="s">
        <v>99</v>
      </c>
      <c r="D5" s="38" t="s">
        <v>100</v>
      </c>
      <c r="E5" s="16" t="s">
        <v>101</v>
      </c>
    </row>
    <row r="6" customFormat="false" ht="18" hidden="false" customHeight="true" outlineLevel="0" collapsed="false">
      <c r="A6" s="8" t="s">
        <v>102</v>
      </c>
      <c r="B6" s="38" t="s">
        <v>100</v>
      </c>
      <c r="C6" s="16" t="s">
        <v>103</v>
      </c>
      <c r="D6" s="37" t="n">
        <f aca="false">'FCFF Projection'!F7</f>
        <v>266.56</v>
      </c>
      <c r="E6" s="16" t="s">
        <v>99</v>
      </c>
    </row>
    <row r="7" customFormat="false" ht="18" hidden="false" customHeight="true" outlineLevel="0" collapsed="false">
      <c r="A7" s="8" t="s">
        <v>104</v>
      </c>
      <c r="B7" s="15" t="n">
        <v>0.03</v>
      </c>
      <c r="C7" s="16" t="s">
        <v>105</v>
      </c>
      <c r="D7" s="38" t="s">
        <v>100</v>
      </c>
      <c r="E7" s="16" t="s">
        <v>101</v>
      </c>
    </row>
    <row r="8" customFormat="false" ht="18" hidden="false" customHeight="true" outlineLevel="0" collapsed="false">
      <c r="A8" s="8" t="s">
        <v>106</v>
      </c>
      <c r="B8" s="38" t="s">
        <v>100</v>
      </c>
      <c r="C8" s="16" t="s">
        <v>103</v>
      </c>
      <c r="D8" s="39" t="n">
        <v>9</v>
      </c>
      <c r="E8" s="16" t="s">
        <v>107</v>
      </c>
    </row>
    <row r="9" customFormat="false" ht="18" hidden="false" customHeight="true" outlineLevel="0" collapsed="false">
      <c r="A9" s="8" t="s">
        <v>108</v>
      </c>
      <c r="B9" s="40" t="n">
        <f aca="false">WACC!$B$22</f>
        <v>0.09265</v>
      </c>
      <c r="C9" s="16" t="s">
        <v>109</v>
      </c>
      <c r="D9" s="38" t="s">
        <v>100</v>
      </c>
      <c r="E9" s="16" t="s">
        <v>110</v>
      </c>
    </row>
    <row r="11" customFormat="false" ht="21.75" hidden="false" customHeight="true" outlineLevel="0" collapsed="false">
      <c r="A11" s="14" t="s">
        <v>111</v>
      </c>
      <c r="B11" s="14"/>
      <c r="C11" s="14"/>
      <c r="D11" s="14"/>
      <c r="E11" s="14"/>
    </row>
    <row r="12" customFormat="false" ht="18" hidden="false" customHeight="true" outlineLevel="0" collapsed="false">
      <c r="A12" s="21" t="s">
        <v>112</v>
      </c>
      <c r="B12" s="31" t="n">
        <f aca="false">B5*(1+B7)</f>
        <v>129.0384</v>
      </c>
      <c r="C12" s="16" t="s">
        <v>113</v>
      </c>
      <c r="D12" s="38" t="s">
        <v>100</v>
      </c>
    </row>
    <row r="13" customFormat="false" ht="21.75" hidden="false" customHeight="true" outlineLevel="0" collapsed="false">
      <c r="A13" s="18" t="s">
        <v>114</v>
      </c>
      <c r="B13" s="30" t="n">
        <f aca="false">B12/(B9-B7)</f>
        <v>2059.67118914605</v>
      </c>
      <c r="C13" s="16" t="s">
        <v>115</v>
      </c>
      <c r="D13" s="30" t="n">
        <f aca="false">D8*D6</f>
        <v>2399.04</v>
      </c>
      <c r="E13" s="16" t="s">
        <v>116</v>
      </c>
    </row>
    <row r="15" customFormat="false" ht="21.75" hidden="false" customHeight="true" outlineLevel="0" collapsed="false">
      <c r="A15" s="14" t="s">
        <v>117</v>
      </c>
      <c r="B15" s="14"/>
      <c r="C15" s="14"/>
      <c r="D15" s="14"/>
      <c r="E15" s="14"/>
    </row>
    <row r="16" customFormat="false" ht="18" hidden="false" customHeight="true" outlineLevel="0" collapsed="false">
      <c r="A16" s="21" t="s">
        <v>118</v>
      </c>
      <c r="B16" s="41" t="n">
        <f aca="false">1/(1+B9)^5</f>
        <v>0.642088142135457</v>
      </c>
      <c r="C16" s="16" t="s">
        <v>119</v>
      </c>
    </row>
    <row r="17" customFormat="false" ht="24" hidden="false" customHeight="true" outlineLevel="0" collapsed="false">
      <c r="A17" s="23" t="s">
        <v>120</v>
      </c>
      <c r="B17" s="33" t="n">
        <f aca="false">B13*B16</f>
        <v>1322.49044724871</v>
      </c>
      <c r="C17" s="16" t="s">
        <v>121</v>
      </c>
      <c r="D17" s="33" t="n">
        <f aca="false">D13*B16</f>
        <v>1540.39513650865</v>
      </c>
      <c r="E17" s="16" t="s">
        <v>122</v>
      </c>
    </row>
    <row r="19" customFormat="false" ht="18" hidden="false" customHeight="true" outlineLevel="0" collapsed="false">
      <c r="A19" s="28" t="s">
        <v>123</v>
      </c>
      <c r="B19" s="42" t="n">
        <v>1</v>
      </c>
      <c r="C19" s="16" t="s">
        <v>124</v>
      </c>
    </row>
    <row r="20" customFormat="false" ht="21.75" hidden="false" customHeight="true" outlineLevel="0" collapsed="false">
      <c r="A20" s="43" t="s">
        <v>125</v>
      </c>
      <c r="B20" s="44" t="n">
        <f aca="false">IF(B19=1,B17,D17)</f>
        <v>1322.49044724871</v>
      </c>
      <c r="C20" s="16" t="s">
        <v>126</v>
      </c>
    </row>
  </sheetData>
  <mergeCells count="5">
    <mergeCell ref="A1:E2"/>
    <mergeCell ref="B4:C4"/>
    <mergeCell ref="D4:E4"/>
    <mergeCell ref="A11:E11"/>
    <mergeCell ref="A15:E1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8C10B"/>
    <pageSetUpPr fitToPage="false"/>
  </sheetPr>
  <dimension ref="A1:G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8"/>
    <col collapsed="false" customWidth="true" hidden="false" outlineLevel="0" max="6" min="2" style="1" width="14"/>
    <col collapsed="false" customWidth="true" hidden="false" outlineLevel="0" max="7" min="7" style="1" width="32"/>
  </cols>
  <sheetData>
    <row r="1" customFormat="false" ht="18" hidden="false" customHeight="true" outlineLevel="0" collapsed="false">
      <c r="A1" s="2" t="s">
        <v>127</v>
      </c>
      <c r="B1" s="2"/>
      <c r="C1" s="2"/>
      <c r="D1" s="2"/>
      <c r="E1" s="2"/>
      <c r="F1" s="2"/>
      <c r="G1" s="2"/>
    </row>
    <row r="2" customFormat="false" ht="18" hidden="false" customHeight="true" outlineLevel="0" collapsed="false">
      <c r="A2" s="2"/>
      <c r="B2" s="2"/>
      <c r="C2" s="2"/>
      <c r="D2" s="2"/>
      <c r="E2" s="2"/>
      <c r="F2" s="2"/>
      <c r="G2" s="2"/>
    </row>
    <row r="3" customFormat="false" ht="21.75" hidden="false" customHeight="true" outlineLevel="0" collapsed="false">
      <c r="A3" s="25"/>
      <c r="B3" s="26" t="s">
        <v>64</v>
      </c>
      <c r="C3" s="26" t="s">
        <v>65</v>
      </c>
      <c r="D3" s="26" t="s">
        <v>66</v>
      </c>
      <c r="E3" s="26" t="s">
        <v>67</v>
      </c>
      <c r="F3" s="26" t="s">
        <v>68</v>
      </c>
      <c r="G3" s="25"/>
    </row>
    <row r="4" customFormat="false" ht="21.75" hidden="false" customHeight="true" outlineLevel="0" collapsed="false">
      <c r="A4" s="43" t="s">
        <v>108</v>
      </c>
      <c r="B4" s="45" t="n">
        <f aca="false">WACC!$B$22</f>
        <v>0.09265</v>
      </c>
      <c r="C4" s="45"/>
      <c r="D4" s="45"/>
      <c r="E4" s="45"/>
      <c r="F4" s="45"/>
      <c r="G4" s="16" t="s">
        <v>128</v>
      </c>
    </row>
    <row r="6" customFormat="false" ht="21.75" hidden="false" customHeight="true" outlineLevel="0" collapsed="false">
      <c r="A6" s="14" t="s">
        <v>129</v>
      </c>
      <c r="B6" s="14"/>
      <c r="C6" s="14"/>
      <c r="D6" s="14"/>
      <c r="E6" s="14"/>
      <c r="F6" s="14"/>
      <c r="G6" s="14"/>
    </row>
    <row r="7" customFormat="false" ht="18" hidden="false" customHeight="true" outlineLevel="0" collapsed="false">
      <c r="A7" s="28" t="s">
        <v>130</v>
      </c>
      <c r="B7" s="37" t="n">
        <f aca="false">'FCFF Projection'!B17</f>
        <v>61.625</v>
      </c>
      <c r="C7" s="37" t="n">
        <f aca="false">'FCFF Projection'!C17</f>
        <v>87.53</v>
      </c>
      <c r="D7" s="37" t="n">
        <f aca="false">'FCFF Projection'!D17</f>
        <v>109.98</v>
      </c>
      <c r="E7" s="37" t="n">
        <f aca="false">'FCFF Projection'!E17</f>
        <v>117.88</v>
      </c>
      <c r="F7" s="37" t="n">
        <f aca="false">'FCFF Projection'!F17</f>
        <v>125.28</v>
      </c>
      <c r="G7" s="16" t="s">
        <v>131</v>
      </c>
    </row>
    <row r="8" customFormat="false" ht="18" hidden="false" customHeight="true" outlineLevel="0" collapsed="false">
      <c r="A8" s="21" t="s">
        <v>132</v>
      </c>
      <c r="B8" s="46" t="n">
        <v>1</v>
      </c>
      <c r="C8" s="46" t="n">
        <v>2</v>
      </c>
      <c r="D8" s="46" t="n">
        <v>3</v>
      </c>
      <c r="E8" s="46" t="n">
        <v>4</v>
      </c>
      <c r="F8" s="46" t="n">
        <v>5</v>
      </c>
      <c r="G8" s="16" t="s">
        <v>133</v>
      </c>
    </row>
    <row r="9" customFormat="false" ht="18" hidden="false" customHeight="true" outlineLevel="0" collapsed="false">
      <c r="A9" s="21" t="s">
        <v>134</v>
      </c>
      <c r="B9" s="41" t="n">
        <f aca="false">1/(1+$B$4)^B8</f>
        <v>0.915206150185329</v>
      </c>
      <c r="C9" s="41" t="n">
        <f aca="false">1/(1+$B$4)^C8</f>
        <v>0.837602297337052</v>
      </c>
      <c r="D9" s="41" t="n">
        <f aca="false">1/(1+$B$4)^D8</f>
        <v>0.766578773932231</v>
      </c>
      <c r="E9" s="41" t="n">
        <f aca="false">1/(1+$B$4)^E8</f>
        <v>0.701577608504307</v>
      </c>
      <c r="F9" s="41" t="n">
        <f aca="false">1/(1+$B$4)^F8</f>
        <v>0.642088142135457</v>
      </c>
    </row>
    <row r="10" customFormat="false" ht="18" hidden="false" customHeight="true" outlineLevel="0" collapsed="false">
      <c r="A10" s="18" t="s">
        <v>135</v>
      </c>
      <c r="B10" s="30" t="n">
        <f aca="false">B7*B9</f>
        <v>56.3995790051709</v>
      </c>
      <c r="C10" s="30" t="n">
        <f aca="false">C7*C9</f>
        <v>73.3153290859121</v>
      </c>
      <c r="D10" s="30" t="n">
        <f aca="false">D7*D9</f>
        <v>84.3083335570667</v>
      </c>
      <c r="E10" s="30" t="n">
        <f aca="false">E7*E9</f>
        <v>82.7019684904877</v>
      </c>
      <c r="F10" s="30" t="n">
        <f aca="false">F7*F9</f>
        <v>80.44080244673</v>
      </c>
      <c r="G10" s="16" t="s">
        <v>136</v>
      </c>
    </row>
    <row r="12" customFormat="false" ht="21.75" hidden="false" customHeight="true" outlineLevel="0" collapsed="false">
      <c r="A12" s="14" t="s">
        <v>137</v>
      </c>
      <c r="B12" s="14"/>
      <c r="C12" s="14"/>
      <c r="D12" s="14"/>
      <c r="E12" s="14"/>
      <c r="F12" s="14"/>
      <c r="G12" s="14"/>
    </row>
    <row r="13" customFormat="false" ht="18" hidden="false" customHeight="true" outlineLevel="0" collapsed="false">
      <c r="A13" s="8" t="s">
        <v>138</v>
      </c>
      <c r="B13" s="47" t="n">
        <f aca="false">SUM(B10:F10)</f>
        <v>377.166012585367</v>
      </c>
      <c r="C13" s="47"/>
      <c r="D13" s="47"/>
      <c r="E13" s="47"/>
      <c r="F13" s="47"/>
      <c r="G13" s="16" t="s">
        <v>139</v>
      </c>
    </row>
    <row r="14" customFormat="false" ht="18" hidden="false" customHeight="true" outlineLevel="0" collapsed="false">
      <c r="A14" s="8" t="s">
        <v>140</v>
      </c>
      <c r="B14" s="48" t="n">
        <f aca="false">'Terminal Value'!$B$20</f>
        <v>1322.49044724871</v>
      </c>
      <c r="C14" s="48"/>
      <c r="D14" s="48"/>
      <c r="E14" s="48"/>
      <c r="F14" s="48"/>
      <c r="G14" s="16" t="s">
        <v>141</v>
      </c>
    </row>
    <row r="15" customFormat="false" ht="24" hidden="false" customHeight="true" outlineLevel="0" collapsed="false">
      <c r="A15" s="23" t="s">
        <v>142</v>
      </c>
      <c r="B15" s="49" t="n">
        <f aca="false">B13+B14</f>
        <v>1699.65645983408</v>
      </c>
      <c r="C15" s="49"/>
      <c r="D15" s="49"/>
      <c r="E15" s="49"/>
      <c r="F15" s="49"/>
      <c r="G15" s="16" t="s">
        <v>143</v>
      </c>
    </row>
    <row r="16" customFormat="false" ht="18" hidden="false" customHeight="true" outlineLevel="0" collapsed="false">
      <c r="A16" s="21" t="s">
        <v>144</v>
      </c>
      <c r="B16" s="50" t="n">
        <f aca="false">B14/B15</f>
        <v>0.77809279610411</v>
      </c>
      <c r="C16" s="50"/>
      <c r="D16" s="50"/>
      <c r="E16" s="50"/>
      <c r="F16" s="50"/>
      <c r="G16" s="16" t="s">
        <v>145</v>
      </c>
    </row>
    <row r="18" customFormat="false" ht="21.75" hidden="false" customHeight="true" outlineLevel="0" collapsed="false">
      <c r="A18" s="14" t="s">
        <v>146</v>
      </c>
      <c r="B18" s="14"/>
      <c r="C18" s="14"/>
      <c r="D18" s="14"/>
      <c r="E18" s="14"/>
      <c r="F18" s="14"/>
      <c r="G18" s="14"/>
    </row>
    <row r="19" customFormat="false" ht="18" hidden="false" customHeight="true" outlineLevel="0" collapsed="false">
      <c r="A19" s="8" t="s">
        <v>147</v>
      </c>
      <c r="B19" s="51" t="n">
        <v>200</v>
      </c>
      <c r="C19" s="51"/>
      <c r="D19" s="51"/>
      <c r="E19" s="51"/>
      <c r="F19" s="51"/>
      <c r="G19" s="16" t="s">
        <v>148</v>
      </c>
    </row>
    <row r="20" customFormat="false" ht="18" hidden="false" customHeight="true" outlineLevel="0" collapsed="false">
      <c r="A20" s="8" t="s">
        <v>149</v>
      </c>
      <c r="B20" s="51" t="n">
        <v>80</v>
      </c>
      <c r="C20" s="51"/>
      <c r="D20" s="51"/>
      <c r="E20" s="51"/>
      <c r="F20" s="51"/>
      <c r="G20" s="16" t="s">
        <v>148</v>
      </c>
    </row>
    <row r="21" customFormat="false" ht="24" hidden="false" customHeight="true" outlineLevel="0" collapsed="false">
      <c r="A21" s="23" t="s">
        <v>150</v>
      </c>
      <c r="B21" s="49" t="n">
        <f aca="false">B15-B19+B20</f>
        <v>1579.65645983408</v>
      </c>
      <c r="C21" s="49"/>
      <c r="D21" s="49"/>
      <c r="E21" s="49"/>
      <c r="F21" s="49"/>
      <c r="G21" s="16" t="s">
        <v>151</v>
      </c>
    </row>
    <row r="23" customFormat="false" ht="21.75" hidden="false" customHeight="true" outlineLevel="0" collapsed="false">
      <c r="A23" s="14" t="s">
        <v>152</v>
      </c>
      <c r="B23" s="14"/>
      <c r="C23" s="14"/>
      <c r="D23" s="14"/>
      <c r="E23" s="14"/>
      <c r="F23" s="14"/>
      <c r="G23" s="14"/>
    </row>
    <row r="24" customFormat="false" ht="18" hidden="false" customHeight="true" outlineLevel="0" collapsed="false">
      <c r="A24" s="8" t="s">
        <v>153</v>
      </c>
      <c r="B24" s="52" t="n">
        <v>50</v>
      </c>
      <c r="C24" s="52"/>
      <c r="D24" s="52"/>
      <c r="E24" s="52"/>
      <c r="F24" s="52"/>
      <c r="G24" s="16" t="s">
        <v>154</v>
      </c>
    </row>
    <row r="25" customFormat="false" ht="25.5" hidden="false" customHeight="true" outlineLevel="0" collapsed="false">
      <c r="A25" s="53" t="s">
        <v>155</v>
      </c>
      <c r="B25" s="54" t="n">
        <f aca="false">B21/B24</f>
        <v>31.5931291966816</v>
      </c>
      <c r="C25" s="54"/>
      <c r="D25" s="54"/>
      <c r="E25" s="54"/>
      <c r="F25" s="54"/>
      <c r="G25" s="16" t="s">
        <v>156</v>
      </c>
    </row>
  </sheetData>
  <mergeCells count="15">
    <mergeCell ref="A1:G2"/>
    <mergeCell ref="B4:F4"/>
    <mergeCell ref="A6:G6"/>
    <mergeCell ref="A12:G12"/>
    <mergeCell ref="B13:F13"/>
    <mergeCell ref="B14:F14"/>
    <mergeCell ref="B15:F15"/>
    <mergeCell ref="B16:F16"/>
    <mergeCell ref="A18:G18"/>
    <mergeCell ref="B19:F19"/>
    <mergeCell ref="B20:F20"/>
    <mergeCell ref="B21:F21"/>
    <mergeCell ref="A23:G23"/>
    <mergeCell ref="B24:F24"/>
    <mergeCell ref="B25:F2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C27B0"/>
    <pageSetUpPr fitToPage="false"/>
  </sheetPr>
  <dimension ref="A1:H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4"/>
    <col collapsed="false" customWidth="true" hidden="false" outlineLevel="0" max="8" min="2" style="1" width="14"/>
  </cols>
  <sheetData>
    <row r="1" customFormat="false" ht="18" hidden="false" customHeight="true" outlineLevel="0" collapsed="false">
      <c r="A1" s="2" t="s">
        <v>157</v>
      </c>
      <c r="B1" s="2"/>
      <c r="C1" s="2"/>
      <c r="D1" s="2"/>
      <c r="E1" s="2"/>
      <c r="F1" s="2"/>
      <c r="G1" s="2"/>
      <c r="H1" s="2"/>
    </row>
    <row r="2" customFormat="false" ht="18" hidden="false" customHeight="true" outlineLevel="0" collapsed="false">
      <c r="A2" s="2"/>
      <c r="B2" s="2"/>
      <c r="C2" s="2"/>
      <c r="D2" s="2"/>
      <c r="E2" s="2"/>
      <c r="F2" s="2"/>
      <c r="G2" s="2"/>
      <c r="H2" s="2"/>
    </row>
    <row r="3" customFormat="false" ht="7.5" hidden="false" customHeight="true" outlineLevel="0" collapsed="false"/>
    <row r="4" customFormat="false" ht="21.75" hidden="false" customHeight="true" outlineLevel="0" collapsed="false">
      <c r="A4" s="28" t="s">
        <v>158</v>
      </c>
      <c r="B4" s="55" t="n">
        <f aca="false">'DCF Valuation'!$B$15</f>
        <v>1699.65645983408</v>
      </c>
      <c r="C4" s="56" t="s">
        <v>159</v>
      </c>
      <c r="D4" s="56"/>
      <c r="E4" s="56"/>
      <c r="F4" s="56"/>
      <c r="G4" s="56"/>
      <c r="H4" s="56"/>
    </row>
    <row r="6" customFormat="false" ht="21.75" hidden="false" customHeight="true" outlineLevel="0" collapsed="false">
      <c r="A6" s="14" t="s">
        <v>160</v>
      </c>
      <c r="B6" s="14"/>
      <c r="C6" s="14"/>
      <c r="D6" s="14"/>
      <c r="E6" s="14"/>
      <c r="F6" s="14"/>
      <c r="G6" s="14"/>
      <c r="H6" s="14"/>
    </row>
    <row r="7" customFormat="false" ht="21.75" hidden="false" customHeight="true" outlineLevel="0" collapsed="false">
      <c r="A7" s="12" t="s">
        <v>161</v>
      </c>
      <c r="B7" s="57" t="n">
        <v>0.015</v>
      </c>
      <c r="C7" s="57" t="n">
        <v>0.02</v>
      </c>
      <c r="D7" s="57" t="n">
        <v>0.025</v>
      </c>
      <c r="E7" s="57" t="n">
        <v>0.03</v>
      </c>
      <c r="F7" s="57" t="n">
        <v>0.035</v>
      </c>
      <c r="G7" s="57" t="n">
        <v>0.04</v>
      </c>
      <c r="H7" s="57" t="n">
        <v>0.045</v>
      </c>
    </row>
    <row r="8" customFormat="false" ht="18" hidden="false" customHeight="true" outlineLevel="0" collapsed="false">
      <c r="A8" s="57" t="n">
        <v>0.08</v>
      </c>
      <c r="B8" s="31" t="n">
        <f aca="false">'FCFF Projection'!B17/(1+$A8)^1+'FCFF Projection'!C17/(1+$A8)^2+'FCFF Projection'!D17/(1+$A8)^3+'FCFF Projection'!E17/(1+$A8)^4+'FCFF Projection'!F17/(1+$A8)^5+('FCFF Projection'!F17*(1+B$7)/($A8-B$7))/(1+$A8)^5</f>
        <v>1722.73927116955</v>
      </c>
      <c r="C8" s="31" t="n">
        <f aca="false">'FCFF Projection'!B17/(1+$A8)^1+'FCFF Projection'!C17/(1+$A8)^2+'FCFF Projection'!D17/(1+$A8)^3+'FCFF Projection'!E17/(1+$A8)^4+'FCFF Projection'!F17/(1+$A8)^5+('FCFF Projection'!F17*(1+C$7)/($A8-C$7))/(1+$A8)^5</f>
        <v>1840.79637368024</v>
      </c>
      <c r="D8" s="31" t="n">
        <f aca="false">'FCFF Projection'!B17/(1+$A8)^1+'FCFF Projection'!C17/(1+$A8)^2+'FCFF Projection'!D17/(1+$A8)^3+'FCFF Projection'!E17/(1+$A8)^4+'FCFF Projection'!F17/(1+$A8)^5+('FCFF Projection'!F17*(1+D$7)/($A8-D$7))/(1+$A8)^5</f>
        <v>1980.31840392015</v>
      </c>
      <c r="E8" s="31" t="n">
        <f aca="false">'FCFF Projection'!B17/(1+$A8)^1+'FCFF Projection'!C17/(1+$A8)^2+'FCFF Projection'!D17/(1+$A8)^3+'FCFF Projection'!E17/(1+$A8)^4+'FCFF Projection'!F17/(1+$A8)^5+('FCFF Projection'!F17*(1+E$7)/($A8-E$7))/(1+$A8)^5</f>
        <v>2147.74484020804</v>
      </c>
      <c r="F8" s="31" t="n">
        <f aca="false">'FCFF Projection'!B17/(1+$A8)^1+'FCFF Projection'!C17/(1+$A8)^2+'FCFF Projection'!D17/(1+$A8)^3+'FCFF Projection'!E17/(1+$A8)^4+'FCFF Projection'!F17/(1+$A8)^5+('FCFF Projection'!F17*(1+F$7)/($A8-F$7))/(1+$A8)^5</f>
        <v>2352.37715122657</v>
      </c>
      <c r="G8" s="31" t="n">
        <f aca="false">'FCFF Projection'!B17/(1+$A8)^1+'FCFF Projection'!C17/(1+$A8)^2+'FCFF Projection'!D17/(1+$A8)^3+'FCFF Projection'!E17/(1+$A8)^4+'FCFF Projection'!F17/(1+$A8)^5+('FCFF Projection'!F17*(1+G$7)/($A8-G$7))/(1+$A8)^5</f>
        <v>2608.16753999974</v>
      </c>
      <c r="H8" s="31" t="n">
        <f aca="false">'FCFF Projection'!B17/(1+$A8)^1+'FCFF Projection'!C17/(1+$A8)^2+'FCFF Projection'!D17/(1+$A8)^3+'FCFF Projection'!E17/(1+$A8)^4+'FCFF Projection'!F17/(1+$A8)^5+('FCFF Projection'!F17*(1+H$7)/($A8-H$7))/(1+$A8)^5</f>
        <v>2937.04089699381</v>
      </c>
    </row>
    <row r="9" customFormat="false" ht="18" hidden="false" customHeight="true" outlineLevel="0" collapsed="false">
      <c r="A9" s="57" t="n">
        <v>0.085</v>
      </c>
      <c r="B9" s="31" t="n">
        <f aca="false">'FCFF Projection'!B17/(1+$A9)^1+'FCFF Projection'!C17/(1+$A9)^2+'FCFF Projection'!D17/(1+$A9)^3+'FCFF Projection'!E17/(1+$A9)^4+'FCFF Projection'!F17/(1+$A9)^5+('FCFF Projection'!F17*(1+B$7)/($A9-B$7))/(1+$A9)^5</f>
        <v>1593.72527032975</v>
      </c>
      <c r="C9" s="31" t="n">
        <f aca="false">'FCFF Projection'!B17/(1+$A9)^1+'FCFF Projection'!C17/(1+$A9)^2+'FCFF Projection'!D17/(1+$A9)^3+'FCFF Projection'!E17/(1+$A9)^4+'FCFF Projection'!F17/(1+$A9)^5+('FCFF Projection'!F17*(1+C$7)/($A9-C$7))/(1+$A9)^5</f>
        <v>1693.06463992655</v>
      </c>
      <c r="D9" s="31" t="n">
        <f aca="false">'FCFF Projection'!B17/(1+$A9)^1+'FCFF Projection'!C17/(1+$A9)^2+'FCFF Projection'!D17/(1+$A9)^3+'FCFF Projection'!E17/(1+$A9)^4+'FCFF Projection'!F17/(1+$A9)^5+('FCFF Projection'!F17*(1+D$7)/($A9-D$7))/(1+$A9)^5</f>
        <v>1808.96057112282</v>
      </c>
      <c r="E9" s="31" t="n">
        <f aca="false">'FCFF Projection'!B17/(1+$A9)^1+'FCFF Projection'!C17/(1+$A9)^2+'FCFF Projection'!D17/(1+$A9)^3+'FCFF Projection'!E17/(1+$A9)^4+'FCFF Projection'!F17/(1+$A9)^5+('FCFF Projection'!F17*(1+E$7)/($A9-E$7))/(1+$A9)^5</f>
        <v>1945.92848980932</v>
      </c>
      <c r="F9" s="31" t="n">
        <f aca="false">'FCFF Projection'!B17/(1+$A9)^1+'FCFF Projection'!C17/(1+$A9)^2+'FCFF Projection'!D17/(1+$A9)^3+'FCFF Projection'!E17/(1+$A9)^4+'FCFF Projection'!F17/(1+$A9)^5+('FCFF Projection'!F17*(1+F$7)/($A9-F$7))/(1+$A9)^5</f>
        <v>2110.28999223311</v>
      </c>
      <c r="G9" s="31" t="n">
        <f aca="false">'FCFF Projection'!B17/(1+$A9)^1+'FCFF Projection'!C17/(1+$A9)^2+'FCFF Projection'!D17/(1+$A9)^3+'FCFF Projection'!E17/(1+$A9)^4+'FCFF Projection'!F17/(1+$A9)^5+('FCFF Projection'!F17*(1+G$7)/($A9-G$7))/(1+$A9)^5</f>
        <v>2311.17627297331</v>
      </c>
      <c r="H9" s="31" t="n">
        <f aca="false">'FCFF Projection'!B17/(1+$A9)^1+'FCFF Projection'!C17/(1+$A9)^2+'FCFF Projection'!D17/(1+$A9)^3+'FCFF Projection'!E17/(1+$A9)^4+'FCFF Projection'!F17/(1+$A9)^5+('FCFF Projection'!F17*(1+H$7)/($A9-H$7))/(1+$A9)^5</f>
        <v>2562.28412389856</v>
      </c>
    </row>
    <row r="10" customFormat="false" ht="18" hidden="false" customHeight="true" outlineLevel="0" collapsed="false">
      <c r="A10" s="57" t="n">
        <v>0.09</v>
      </c>
      <c r="B10" s="31" t="n">
        <f aca="false">'FCFF Projection'!B17/(1+$A10)^1+'FCFF Projection'!C17/(1+$A10)^2+'FCFF Projection'!D17/(1+$A10)^3+'FCFF Projection'!E17/(1+$A10)^4+'FCFF Projection'!F17/(1+$A10)^5+('FCFF Projection'!F17*(1+B$7)/($A10-B$7))/(1+$A10)^5</f>
        <v>1481.99632263911</v>
      </c>
      <c r="C10" s="31" t="n">
        <f aca="false">'FCFF Projection'!B17/(1+$A10)^1+'FCFF Projection'!C17/(1+$A10)^2+'FCFF Projection'!D17/(1+$A10)^3+'FCFF Projection'!E17/(1+$A10)^4+'FCFF Projection'!F17/(1+$A10)^5+('FCFF Projection'!F17*(1+C$7)/($A10-C$7))/(1+$A10)^5</f>
        <v>1566.52157067935</v>
      </c>
      <c r="D10" s="31" t="n">
        <f aca="false">'FCFF Projection'!B17/(1+$A10)^1+'FCFF Projection'!C17/(1+$A10)^2+'FCFF Projection'!D17/(1+$A10)^3+'FCFF Projection'!E17/(1+$A10)^4+'FCFF Projection'!F17/(1+$A10)^5+('FCFF Projection'!F17*(1+D$7)/($A10-D$7))/(1+$A10)^5</f>
        <v>1664.05070303347</v>
      </c>
      <c r="E10" s="31" t="n">
        <f aca="false">'FCFF Projection'!B17/(1+$A10)^1+'FCFF Projection'!C17/(1+$A10)^2+'FCFF Projection'!D17/(1+$A10)^3+'FCFF Projection'!E17/(1+$A10)^4+'FCFF Projection'!F17/(1+$A10)^5+('FCFF Projection'!F17*(1+E$7)/($A10-E$7))/(1+$A10)^5</f>
        <v>1777.83469077994</v>
      </c>
      <c r="F10" s="31" t="n">
        <f aca="false">'FCFF Projection'!B17/(1+$A10)^1+'FCFF Projection'!C17/(1+$A10)^2+'FCFF Projection'!D17/(1+$A10)^3+'FCFF Projection'!E17/(1+$A10)^4+'FCFF Projection'!F17/(1+$A10)^5+('FCFF Projection'!F17*(1+F$7)/($A10-F$7))/(1+$A10)^5</f>
        <v>1912.3066762985</v>
      </c>
      <c r="G10" s="31" t="n">
        <f aca="false">'FCFF Projection'!B17/(1+$A10)^1+'FCFF Projection'!C17/(1+$A10)^2+'FCFF Projection'!D17/(1+$A10)^3+'FCFF Projection'!E17/(1+$A10)^4+'FCFF Projection'!F17/(1+$A10)^5+('FCFF Projection'!F17*(1+G$7)/($A10-G$7))/(1+$A10)^5</f>
        <v>2073.67305892077</v>
      </c>
      <c r="H10" s="31" t="n">
        <f aca="false">'FCFF Projection'!B17/(1+$A10)^1+'FCFF Projection'!C17/(1+$A10)^2+'FCFF Projection'!D17/(1+$A10)^3+'FCFF Projection'!E17/(1+$A10)^4+'FCFF Projection'!F17/(1+$A10)^5+('FCFF Projection'!F17*(1+H$7)/($A10-H$7))/(1+$A10)^5</f>
        <v>2270.89863768132</v>
      </c>
    </row>
    <row r="11" customFormat="false" ht="18" hidden="false" customHeight="true" outlineLevel="0" collapsed="false">
      <c r="A11" s="57" t="n">
        <v>0.0927</v>
      </c>
      <c r="B11" s="31" t="n">
        <f aca="false">'FCFF Projection'!B17/(1+$A11)^1+'FCFF Projection'!C17/(1+$A11)^2+'FCFF Projection'!D17/(1+$A11)^3+'FCFF Projection'!E17/(1+$A11)^4+'FCFF Projection'!F17/(1+$A11)^5+('FCFF Projection'!F17*(1+B$7)/($A11-B$7))/(1+$A11)^5</f>
        <v>1427.67449378227</v>
      </c>
      <c r="C11" s="31" t="n">
        <f aca="false">'FCFF Projection'!B17/(1+$A11)^1+'FCFF Projection'!C17/(1+$A11)^2+'FCFF Projection'!D17/(1+$A11)^3+'FCFF Projection'!E17/(1+$A11)^4+'FCFF Projection'!F17/(1+$A11)^5+('FCFF Projection'!F17*(1+C$7)/($A11-C$7))/(1+$A11)^5</f>
        <v>1505.45890112726</v>
      </c>
      <c r="D11" s="31" t="n">
        <f aca="false">'FCFF Projection'!B17/(1+$A11)^1+'FCFF Projection'!C17/(1+$A11)^2+'FCFF Projection'!D17/(1+$A11)^3+'FCFF Projection'!E17/(1+$A11)^4+'FCFF Projection'!F17/(1+$A11)^5+('FCFF Projection'!F17*(1+D$7)/($A11-D$7))/(1+$A11)^5</f>
        <v>1594.73288119677</v>
      </c>
      <c r="E11" s="58" t="n">
        <f aca="false">'FCFF Projection'!B17/(1+$A11)^1+'FCFF Projection'!C17/(1+$A11)^2+'FCFF Projection'!D17/(1+$A11)^3+'FCFF Projection'!E17/(1+$A11)^4+'FCFF Projection'!F17/(1+$A11)^5+('FCFF Projection'!F17*(1+E$7)/($A11-E$7))/(1+$A11)^5</f>
        <v>1698.24513559953</v>
      </c>
      <c r="F11" s="31" t="n">
        <f aca="false">'FCFF Projection'!B17/(1+$A11)^1+'FCFF Projection'!C17/(1+$A11)^2+'FCFF Projection'!D17/(1+$A11)^3+'FCFF Projection'!E17/(1+$A11)^4+'FCFF Projection'!F17/(1+$A11)^5+('FCFF Projection'!F17*(1+F$7)/($A11-F$7))/(1+$A11)^5</f>
        <v>1819.69712213448</v>
      </c>
      <c r="G11" s="31" t="n">
        <f aca="false">'FCFF Projection'!B17/(1+$A11)^1+'FCFF Projection'!C17/(1+$A11)^2+'FCFF Projection'!D17/(1+$A11)^3+'FCFF Projection'!E17/(1+$A11)^4+'FCFF Projection'!F17/(1+$A11)^5+('FCFF Projection'!F17*(1+G$7)/($A11-G$7))/(1+$A11)^5</f>
        <v>1964.19502641801</v>
      </c>
      <c r="H11" s="31" t="n">
        <f aca="false">'FCFF Projection'!B17/(1+$A11)^1+'FCFF Projection'!C17/(1+$A11)^2+'FCFF Projection'!D17/(1+$A11)^3+'FCFF Projection'!E17/(1+$A11)^4+'FCFF Projection'!F17/(1+$A11)^5+('FCFF Projection'!F17*(1+H$7)/($A11-H$7))/(1+$A11)^5</f>
        <v>2138.98599239619</v>
      </c>
    </row>
    <row r="12" customFormat="false" ht="18" hidden="false" customHeight="true" outlineLevel="0" collapsed="false">
      <c r="A12" s="57" t="n">
        <v>0.095</v>
      </c>
      <c r="B12" s="31" t="n">
        <f aca="false">'FCFF Projection'!B17/(1+$A12)^1+'FCFF Projection'!C17/(1+$A12)^2+'FCFF Projection'!D17/(1+$A12)^3+'FCFF Projection'!E17/(1+$A12)^4+'FCFF Projection'!F17/(1+$A12)^5+('FCFF Projection'!F17*(1+B$7)/($A12-B$7))/(1+$A12)^5</f>
        <v>1384.30985065998</v>
      </c>
      <c r="C12" s="31" t="n">
        <f aca="false">'FCFF Projection'!B17/(1+$A12)^1+'FCFF Projection'!C17/(1+$A12)^2+'FCFF Projection'!D17/(1+$A12)^3+'FCFF Projection'!E17/(1+$A12)^4+'FCFF Projection'!F17/(1+$A12)^5+('FCFF Projection'!F17*(1+C$7)/($A12-C$7))/(1+$A12)^5</f>
        <v>1456.92780689967</v>
      </c>
      <c r="D12" s="31" t="n">
        <f aca="false">'FCFF Projection'!B17/(1+$A12)^1+'FCFF Projection'!C17/(1+$A12)^2+'FCFF Projection'!D17/(1+$A12)^3+'FCFF Projection'!E17/(1+$A12)^4+'FCFF Projection'!F17/(1+$A12)^5+('FCFF Projection'!F17*(1+D$7)/($A12-D$7))/(1+$A12)^5</f>
        <v>1539.91975688789</v>
      </c>
      <c r="E12" s="31" t="n">
        <f aca="false">'FCFF Projection'!B17/(1+$A12)^1+'FCFF Projection'!C17/(1+$A12)^2+'FCFF Projection'!D17/(1+$A12)^3+'FCFF Projection'!E17/(1+$A12)^4+'FCFF Projection'!F17/(1+$A12)^5+('FCFF Projection'!F17*(1+E$7)/($A12-E$7))/(1+$A12)^5</f>
        <v>1635.67969918199</v>
      </c>
      <c r="F12" s="31" t="n">
        <f aca="false">'FCFF Projection'!B17/(1+$A12)^1+'FCFF Projection'!C17/(1+$A12)^2+'FCFF Projection'!D17/(1+$A12)^3+'FCFF Projection'!E17/(1+$A12)^4+'FCFF Projection'!F17/(1+$A12)^5+('FCFF Projection'!F17*(1+F$7)/($A12-F$7))/(1+$A12)^5</f>
        <v>1747.39963185844</v>
      </c>
      <c r="G12" s="31" t="n">
        <f aca="false">'FCFF Projection'!B17/(1+$A12)^1+'FCFF Projection'!C17/(1+$A12)^2+'FCFF Projection'!D17/(1+$A12)^3+'FCFF Projection'!E17/(1+$A12)^4+'FCFF Projection'!F17/(1+$A12)^5+('FCFF Projection'!F17*(1+G$7)/($A12-G$7))/(1+$A12)^5</f>
        <v>1879.43227956697</v>
      </c>
      <c r="H12" s="31" t="n">
        <f aca="false">'FCFF Projection'!B17/(1+$A12)^1+'FCFF Projection'!C17/(1+$A12)^2+'FCFF Projection'!D17/(1+$A12)^3+'FCFF Projection'!E17/(1+$A12)^4+'FCFF Projection'!F17/(1+$A12)^5+('FCFF Projection'!F17*(1+H$7)/($A12-H$7))/(1+$A12)^5</f>
        <v>2037.8714568172</v>
      </c>
    </row>
    <row r="13" customFormat="false" ht="18" hidden="false" customHeight="true" outlineLevel="0" collapsed="false">
      <c r="A13" s="57" t="n">
        <v>0.1</v>
      </c>
      <c r="B13" s="31" t="n">
        <f aca="false">'FCFF Projection'!B17/(1+$A13)^1+'FCFF Projection'!C17/(1+$A13)^2+'FCFF Projection'!D17/(1+$A13)^3+'FCFF Projection'!E17/(1+$A13)^4+'FCFF Projection'!F17/(1+$A13)^5+('FCFF Projection'!F17*(1+B$7)/($A13-B$7))/(1+$A13)^5</f>
        <v>1298.18627685348</v>
      </c>
      <c r="C13" s="31" t="n">
        <f aca="false">'FCFF Projection'!B17/(1+$A13)^1+'FCFF Projection'!C17/(1+$A13)^2+'FCFF Projection'!D17/(1+$A13)^3+'FCFF Projection'!E17/(1+$A13)^4+'FCFF Projection'!F17/(1+$A13)^5+('FCFF Projection'!F17*(1+C$7)/($A13-C$7))/(1+$A13)^5</f>
        <v>1361.10386927122</v>
      </c>
      <c r="D13" s="31" t="n">
        <f aca="false">'FCFF Projection'!B17/(1+$A13)^1+'FCFF Projection'!C17/(1+$A13)^2+'FCFF Projection'!D17/(1+$A13)^3+'FCFF Projection'!E17/(1+$A13)^4+'FCFF Projection'!F17/(1+$A13)^5+('FCFF Projection'!F17*(1+D$7)/($A13-D$7))/(1+$A13)^5</f>
        <v>1432.41047401134</v>
      </c>
      <c r="E13" s="31" t="n">
        <f aca="false">'FCFF Projection'!B17/(1+$A13)^1+'FCFF Projection'!C17/(1+$A13)^2+'FCFF Projection'!D17/(1+$A13)^3+'FCFF Projection'!E17/(1+$A13)^4+'FCFF Projection'!F17/(1+$A13)^5+('FCFF Projection'!F17*(1+E$7)/($A13-E$7))/(1+$A13)^5</f>
        <v>1513.90373657147</v>
      </c>
      <c r="F13" s="31" t="n">
        <f aca="false">'FCFF Projection'!B17/(1+$A13)^1+'FCFF Projection'!C17/(1+$A13)^2+'FCFF Projection'!D17/(1+$A13)^3+'FCFF Projection'!E17/(1+$A13)^4+'FCFF Projection'!F17/(1+$A13)^5+('FCFF Projection'!F17*(1+F$7)/($A13-F$7))/(1+$A13)^5</f>
        <v>1607.93442414085</v>
      </c>
      <c r="G13" s="31" t="n">
        <f aca="false">'FCFF Projection'!B17/(1+$A13)^1+'FCFF Projection'!C17/(1+$A13)^2+'FCFF Projection'!D17/(1+$A13)^3+'FCFF Projection'!E17/(1+$A13)^4+'FCFF Projection'!F17/(1+$A13)^5+('FCFF Projection'!F17*(1+G$7)/($A13-G$7))/(1+$A13)^5</f>
        <v>1717.63689297179</v>
      </c>
      <c r="H13" s="31" t="n">
        <f aca="false">'FCFF Projection'!B17/(1+$A13)^1+'FCFF Projection'!C17/(1+$A13)^2+'FCFF Projection'!D17/(1+$A13)^3+'FCFF Projection'!E17/(1+$A13)^4+'FCFF Projection'!F17/(1+$A13)^5+('FCFF Projection'!F17*(1+H$7)/($A13-H$7))/(1+$A13)^5</f>
        <v>1847.28526522654</v>
      </c>
    </row>
    <row r="14" customFormat="false" ht="18" hidden="false" customHeight="true" outlineLevel="0" collapsed="false">
      <c r="A14" s="57" t="n">
        <v>0.105</v>
      </c>
      <c r="B14" s="31" t="n">
        <f aca="false">'FCFF Projection'!B17/(1+$A14)^1+'FCFF Projection'!C17/(1+$A14)^2+'FCFF Projection'!D17/(1+$A14)^3+'FCFF Projection'!E17/(1+$A14)^4+'FCFF Projection'!F17/(1+$A14)^5+('FCFF Projection'!F17*(1+B$7)/($A14-B$7))/(1+$A14)^5</f>
        <v>1221.69707795496</v>
      </c>
      <c r="C14" s="31" t="n">
        <f aca="false">'FCFF Projection'!B17/(1+$A14)^1+'FCFF Projection'!C17/(1+$A14)^2+'FCFF Projection'!D17/(1+$A14)^3+'FCFF Projection'!E17/(1+$A14)^4+'FCFF Projection'!F17/(1+$A14)^5+('FCFF Projection'!F17*(1+C$7)/($A14-C$7))/(1+$A14)^5</f>
        <v>1276.61842768874</v>
      </c>
      <c r="D14" s="31" t="n">
        <f aca="false">'FCFF Projection'!B17/(1+$A14)^1+'FCFF Projection'!C17/(1+$A14)^2+'FCFF Projection'!D17/(1+$A14)^3+'FCFF Projection'!E17/(1+$A14)^4+'FCFF Projection'!F17/(1+$A14)^5+('FCFF Projection'!F17*(1+D$7)/($A14-D$7))/(1+$A14)^5</f>
        <v>1338.40494613923</v>
      </c>
      <c r="E14" s="31" t="n">
        <f aca="false">'FCFF Projection'!B17/(1+$A14)^1+'FCFF Projection'!C17/(1+$A14)^2+'FCFF Projection'!D17/(1+$A14)^3+'FCFF Projection'!E17/(1+$A14)^4+'FCFF Projection'!F17/(1+$A14)^5+('FCFF Projection'!F17*(1+E$7)/($A14-E$7))/(1+$A14)^5</f>
        <v>1408.42966704979</v>
      </c>
      <c r="F14" s="31" t="n">
        <f aca="false">'FCFF Projection'!B17/(1+$A14)^1+'FCFF Projection'!C17/(1+$A14)^2+'FCFF Projection'!D17/(1+$A14)^3+'FCFF Projection'!E17/(1+$A14)^4+'FCFF Projection'!F17/(1+$A14)^5+('FCFF Projection'!F17*(1+F$7)/($A14-F$7))/(1+$A14)^5</f>
        <v>1488.45791951901</v>
      </c>
      <c r="G14" s="31" t="n">
        <f aca="false">'FCFF Projection'!B17/(1+$A14)^1+'FCFF Projection'!C17/(1+$A14)^2+'FCFF Projection'!D17/(1+$A14)^3+'FCFF Projection'!E17/(1+$A14)^4+'FCFF Projection'!F17/(1+$A14)^5+('FCFF Projection'!F17*(1+G$7)/($A14-G$7))/(1+$A14)^5</f>
        <v>1580.79821082964</v>
      </c>
      <c r="H14" s="31" t="n">
        <f aca="false">'FCFF Projection'!B17/(1+$A14)^1+'FCFF Projection'!C17/(1+$A14)^2+'FCFF Projection'!D17/(1+$A14)^3+'FCFF Projection'!E17/(1+$A14)^4+'FCFF Projection'!F17/(1+$A14)^5+('FCFF Projection'!F17*(1+H$7)/($A14-H$7))/(1+$A14)^5</f>
        <v>1688.52855069204</v>
      </c>
    </row>
    <row r="16" customFormat="false" ht="37.5" hidden="false" customHeight="true" outlineLevel="0" collapsed="false">
      <c r="A16" s="59" t="s">
        <v>162</v>
      </c>
      <c r="B16" s="59"/>
      <c r="C16" s="59"/>
      <c r="D16" s="59"/>
      <c r="E16" s="59"/>
      <c r="F16" s="59"/>
      <c r="G16" s="59"/>
      <c r="H16" s="59"/>
    </row>
  </sheetData>
  <mergeCells count="4">
    <mergeCell ref="A1:H2"/>
    <mergeCell ref="C4:H4"/>
    <mergeCell ref="A6:H6"/>
    <mergeCell ref="A16:H1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8C10B"/>
    <pageSetUpPr fitToPage="false"/>
  </sheetPr>
  <dimension ref="A1:F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2"/>
    <col collapsed="false" customWidth="true" hidden="false" outlineLevel="0" max="5" min="2" style="1" width="14"/>
    <col collapsed="false" customWidth="true" hidden="false" outlineLevel="0" max="6" min="6" style="1" width="24"/>
  </cols>
  <sheetData>
    <row r="1" customFormat="false" ht="18" hidden="false" customHeight="true" outlineLevel="0" collapsed="false">
      <c r="A1" s="2" t="s">
        <v>163</v>
      </c>
      <c r="B1" s="2"/>
      <c r="C1" s="2"/>
      <c r="D1" s="2"/>
      <c r="E1" s="2"/>
      <c r="F1" s="2"/>
    </row>
    <row r="2" customFormat="false" ht="18" hidden="false" customHeight="true" outlineLevel="0" collapsed="false">
      <c r="A2" s="2"/>
      <c r="B2" s="2"/>
      <c r="C2" s="2"/>
      <c r="D2" s="2"/>
      <c r="E2" s="2"/>
      <c r="F2" s="2"/>
    </row>
    <row r="3" customFormat="false" ht="7.5" hidden="false" customHeight="true" outlineLevel="0" collapsed="false"/>
    <row r="4" customFormat="false" ht="21.75" hidden="false" customHeight="true" outlineLevel="0" collapsed="false">
      <c r="A4" s="14" t="s">
        <v>164</v>
      </c>
      <c r="B4" s="14"/>
      <c r="C4" s="14"/>
      <c r="D4" s="14"/>
      <c r="E4" s="14"/>
      <c r="F4" s="14"/>
    </row>
    <row r="5" customFormat="false" ht="21.75" hidden="false" customHeight="true" outlineLevel="0" collapsed="false">
      <c r="A5" s="34" t="s">
        <v>165</v>
      </c>
      <c r="B5" s="26" t="s">
        <v>166</v>
      </c>
      <c r="C5" s="60" t="s">
        <v>167</v>
      </c>
      <c r="D5" s="60" t="s">
        <v>168</v>
      </c>
      <c r="E5" s="60" t="s">
        <v>169</v>
      </c>
      <c r="F5" s="34" t="s">
        <v>69</v>
      </c>
    </row>
    <row r="6" customFormat="false" ht="18" hidden="false" customHeight="true" outlineLevel="0" collapsed="false">
      <c r="A6" s="28" t="s">
        <v>170</v>
      </c>
      <c r="B6" s="38" t="s">
        <v>100</v>
      </c>
      <c r="C6" s="38" t="s">
        <v>100</v>
      </c>
      <c r="D6" s="55" t="n">
        <f aca="false">'DCF Valuation'!$B$15</f>
        <v>1699.65645983408</v>
      </c>
      <c r="E6" s="38" t="s">
        <v>171</v>
      </c>
      <c r="F6" s="16" t="s">
        <v>172</v>
      </c>
    </row>
    <row r="7" customFormat="false" ht="18" hidden="false" customHeight="true" outlineLevel="0" collapsed="false">
      <c r="A7" s="8" t="s">
        <v>173</v>
      </c>
      <c r="B7" s="61" t="n">
        <v>10.5</v>
      </c>
      <c r="C7" s="37" t="n">
        <f aca="false">'FCFF Projection'!B7</f>
        <v>181.3</v>
      </c>
      <c r="D7" s="31" t="n">
        <f aca="false">B7*C7</f>
        <v>1903.65</v>
      </c>
      <c r="E7" s="20" t="n">
        <f aca="false">D7/D6-1</f>
        <v>0.120020454125084</v>
      </c>
      <c r="F7" s="16" t="s">
        <v>174</v>
      </c>
    </row>
    <row r="8" customFormat="false" ht="18" hidden="false" customHeight="true" outlineLevel="0" collapsed="false">
      <c r="A8" s="8" t="s">
        <v>175</v>
      </c>
      <c r="B8" s="61" t="n">
        <v>14</v>
      </c>
      <c r="C8" s="37" t="n">
        <f aca="false">'FCFF Projection'!B10</f>
        <v>129.5</v>
      </c>
      <c r="D8" s="31" t="n">
        <f aca="false">B8*C8</f>
        <v>1813</v>
      </c>
      <c r="E8" s="20" t="n">
        <f aca="false">D8/D6-1</f>
        <v>0.0666861467857942</v>
      </c>
      <c r="F8" s="16" t="s">
        <v>176</v>
      </c>
    </row>
    <row r="9" customFormat="false" ht="18" hidden="false" customHeight="true" outlineLevel="0" collapsed="false">
      <c r="A9" s="8" t="s">
        <v>177</v>
      </c>
      <c r="B9" s="61" t="n">
        <v>18</v>
      </c>
      <c r="C9" s="37" t="n">
        <f aca="false">'FCFF Projection'!B11-B19*WACC!$B$11*(1-WACC!$B$12)</f>
        <v>97.125</v>
      </c>
      <c r="D9" s="31" t="n">
        <f aca="false">B9*C9+B19-B20</f>
        <v>1748.25</v>
      </c>
      <c r="E9" s="20" t="n">
        <f aca="false">D9/D6-1</f>
        <v>0.0285902129720159</v>
      </c>
      <c r="F9" s="16" t="s">
        <v>178</v>
      </c>
    </row>
    <row r="11" customFormat="false" ht="21.75" hidden="false" customHeight="true" outlineLevel="0" collapsed="false">
      <c r="A11" s="14" t="s">
        <v>179</v>
      </c>
      <c r="B11" s="14"/>
      <c r="C11" s="14"/>
      <c r="D11" s="14"/>
      <c r="E11" s="14"/>
      <c r="F11" s="14"/>
    </row>
    <row r="12" customFormat="false" ht="18" hidden="false" customHeight="true" outlineLevel="0" collapsed="false">
      <c r="A12" s="8" t="s">
        <v>180</v>
      </c>
      <c r="B12" s="47" t="n">
        <f aca="false">MIN(D6:D9)</f>
        <v>1699.65645983408</v>
      </c>
      <c r="C12" s="47"/>
      <c r="D12" s="47"/>
      <c r="E12" s="47"/>
      <c r="F12" s="16" t="s">
        <v>181</v>
      </c>
    </row>
    <row r="13" customFormat="false" ht="18" hidden="false" customHeight="true" outlineLevel="0" collapsed="false">
      <c r="A13" s="8" t="s">
        <v>182</v>
      </c>
      <c r="B13" s="47" t="n">
        <f aca="false">MAX(D6:D9)</f>
        <v>1903.65</v>
      </c>
      <c r="C13" s="47"/>
      <c r="D13" s="47"/>
      <c r="E13" s="47"/>
      <c r="F13" s="16" t="s">
        <v>183</v>
      </c>
    </row>
    <row r="14" customFormat="false" ht="21.75" hidden="false" customHeight="true" outlineLevel="0" collapsed="false">
      <c r="A14" s="43" t="s">
        <v>184</v>
      </c>
      <c r="B14" s="62" t="n">
        <f aca="false">AVERAGE(D6:D9)</f>
        <v>1791.13911495852</v>
      </c>
      <c r="C14" s="62"/>
      <c r="D14" s="62"/>
      <c r="E14" s="62"/>
      <c r="F14" s="16" t="s">
        <v>185</v>
      </c>
    </row>
    <row r="15" customFormat="false" ht="18" hidden="false" customHeight="true" outlineLevel="0" collapsed="false">
      <c r="A15" s="21" t="s">
        <v>186</v>
      </c>
      <c r="B15" s="50" t="n">
        <f aca="false">(MAX(D6:D9)-MIN(D6:D9))/D6</f>
        <v>0.120020454125084</v>
      </c>
      <c r="C15" s="50"/>
      <c r="D15" s="50"/>
      <c r="E15" s="50"/>
      <c r="F15" s="16" t="s">
        <v>187</v>
      </c>
    </row>
    <row r="17" customFormat="false" ht="60" hidden="false" customHeight="true" outlineLevel="0" collapsed="false">
      <c r="A17" s="59" t="s">
        <v>188</v>
      </c>
      <c r="B17" s="59"/>
      <c r="C17" s="59"/>
      <c r="D17" s="59"/>
      <c r="E17" s="59"/>
      <c r="F17" s="59"/>
    </row>
  </sheetData>
  <mergeCells count="8">
    <mergeCell ref="A1:F2"/>
    <mergeCell ref="A4:F4"/>
    <mergeCell ref="A11:F11"/>
    <mergeCell ref="B12:E12"/>
    <mergeCell ref="B13:E13"/>
    <mergeCell ref="B14:E14"/>
    <mergeCell ref="B15:E15"/>
    <mergeCell ref="A17:F1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2026-05-07T18:05:13Z</dcterms:created>
  <dc:creator>openpyxl</dc:creator>
  <dc:description/>
  <dc:language>en-US</dc:language>
  <cp:lastModifiedBy/>
  <dcterms:modified xsi:type="dcterms:W3CDTF">2026-05-07T18:05:32Z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