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gfi\website\"/>
    </mc:Choice>
  </mc:AlternateContent>
  <xr:revisionPtr revIDLastSave="0" documentId="13_ncr:1_{9407FBD0-B044-4D0E-8E3B-AC16395D2152}" xr6:coauthVersionLast="47" xr6:coauthVersionMax="47" xr10:uidLastSave="{00000000-0000-0000-0000-000000000000}"/>
  <bookViews>
    <workbookView xWindow="-110" yWindow="-110" windowWidth="19420" windowHeight="10300" tabRatio="500" activeTab="3" xr2:uid="{00000000-000D-0000-FFFF-FFFF00000000}"/>
  </bookViews>
  <sheets>
    <sheet name="Start Here" sheetId="1" r:id="rId1"/>
    <sheet name="FV Calculator" sheetId="2" r:id="rId2"/>
    <sheet name="PV Calculator" sheetId="3" r:id="rId3"/>
    <sheet name="Year-by-Year" sheetId="4" r:id="rId4"/>
    <sheet name="Practice Problems" sheetId="5" r:id="rId5"/>
    <sheet name="Excel Function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9" i="6" l="1"/>
  <c r="F56" i="6"/>
  <c r="F43" i="6"/>
  <c r="F30" i="6"/>
  <c r="F17" i="6"/>
  <c r="H51" i="5"/>
  <c r="F51" i="5"/>
  <c r="H43" i="5"/>
  <c r="F43" i="5"/>
  <c r="H35" i="5"/>
  <c r="F35" i="5"/>
  <c r="H27" i="5"/>
  <c r="F27" i="5"/>
  <c r="H19" i="5"/>
  <c r="F19" i="5"/>
  <c r="H11" i="5"/>
  <c r="F11" i="5"/>
  <c r="F61" i="4"/>
  <c r="E61" i="4"/>
  <c r="D61" i="4"/>
  <c r="C61" i="4"/>
  <c r="B61" i="4"/>
  <c r="F60" i="4"/>
  <c r="E60" i="4"/>
  <c r="D60" i="4"/>
  <c r="C60" i="4"/>
  <c r="B60" i="4"/>
  <c r="F59" i="4"/>
  <c r="E59" i="4"/>
  <c r="D59" i="4"/>
  <c r="C59" i="4"/>
  <c r="B59" i="4"/>
  <c r="F58" i="4"/>
  <c r="E58" i="4"/>
  <c r="D58" i="4"/>
  <c r="C6" i="4"/>
  <c r="C11" i="4" s="1"/>
  <c r="E11" i="4" s="1"/>
  <c r="F11" i="4" s="1"/>
  <c r="C14" i="3"/>
  <c r="C13" i="3"/>
  <c r="C19" i="2"/>
  <c r="C15" i="2"/>
  <c r="C14" i="2"/>
  <c r="C58" i="4" l="1"/>
  <c r="B58" i="4"/>
  <c r="F57" i="4"/>
  <c r="E57" i="4"/>
  <c r="D57" i="4"/>
  <c r="C57" i="4"/>
  <c r="B57" i="4"/>
  <c r="F56" i="4"/>
  <c r="E56" i="4"/>
  <c r="D56" i="4"/>
  <c r="C56" i="4"/>
  <c r="B56" i="4"/>
  <c r="F55" i="4"/>
  <c r="E55" i="4"/>
  <c r="D55" i="4"/>
  <c r="C55" i="4"/>
  <c r="B55" i="4"/>
  <c r="F54" i="4"/>
  <c r="E54" i="4"/>
  <c r="D54" i="4"/>
  <c r="C54" i="4"/>
  <c r="B54" i="4"/>
  <c r="F53" i="4"/>
  <c r="E53" i="4"/>
  <c r="D53" i="4"/>
  <c r="C53" i="4"/>
  <c r="B53" i="4"/>
  <c r="F52" i="4"/>
  <c r="E52" i="4"/>
  <c r="D52" i="4"/>
  <c r="C52" i="4"/>
  <c r="B52" i="4"/>
  <c r="F51" i="4"/>
  <c r="E51" i="4"/>
  <c r="D51" i="4"/>
  <c r="C51" i="4"/>
  <c r="B13" i="4"/>
  <c r="B51" i="4"/>
  <c r="F50" i="4"/>
  <c r="E50" i="4"/>
  <c r="D50" i="4"/>
  <c r="C50" i="4"/>
  <c r="B50" i="4"/>
  <c r="F49" i="4"/>
  <c r="E49" i="4"/>
  <c r="D49" i="4"/>
  <c r="C49" i="4"/>
  <c r="B49" i="4"/>
  <c r="F48" i="4"/>
  <c r="E48" i="4"/>
  <c r="D48" i="4"/>
  <c r="C48" i="4"/>
  <c r="B48" i="4"/>
  <c r="F47" i="4"/>
  <c r="E47" i="4"/>
  <c r="D47" i="4"/>
  <c r="C47" i="4"/>
  <c r="B47" i="4"/>
  <c r="F46" i="4"/>
  <c r="E46" i="4"/>
  <c r="D46" i="4"/>
  <c r="C46" i="4"/>
  <c r="B46" i="4"/>
  <c r="F45" i="4"/>
  <c r="E45" i="4"/>
  <c r="D45" i="4"/>
  <c r="C45" i="4"/>
  <c r="B45" i="4"/>
  <c r="F44" i="4"/>
  <c r="E44" i="4"/>
  <c r="D44" i="4"/>
  <c r="C44" i="4"/>
  <c r="B44" i="4"/>
  <c r="F43" i="4"/>
  <c r="E43" i="4"/>
  <c r="D43" i="4"/>
  <c r="C43" i="4"/>
  <c r="B43" i="4"/>
  <c r="F42" i="4"/>
  <c r="E42" i="4"/>
  <c r="D42" i="4"/>
  <c r="C42" i="4"/>
  <c r="B42" i="4"/>
  <c r="B41" i="4"/>
  <c r="B40" i="4"/>
  <c r="B39" i="4"/>
  <c r="B38" i="4"/>
  <c r="B37" i="4"/>
  <c r="B36" i="4"/>
  <c r="B35" i="4"/>
  <c r="B34" i="4"/>
  <c r="B33" i="4"/>
  <c r="B32" i="4"/>
  <c r="B31" i="4"/>
  <c r="B15" i="4"/>
  <c r="B14" i="4"/>
  <c r="C12" i="4"/>
  <c r="D12" i="4" s="1"/>
  <c r="E12" i="4" s="1"/>
  <c r="B30" i="4"/>
  <c r="B12" i="4"/>
  <c r="B29" i="4"/>
  <c r="B28" i="4"/>
  <c r="B27" i="4"/>
  <c r="B26" i="4"/>
  <c r="B25" i="4"/>
  <c r="B24" i="4"/>
  <c r="B23" i="4"/>
  <c r="B22" i="4"/>
  <c r="B21" i="4"/>
  <c r="B20" i="4"/>
  <c r="B19" i="4"/>
  <c r="B18" i="4"/>
  <c r="B17" i="4"/>
  <c r="B16" i="4"/>
  <c r="C17" i="3"/>
  <c r="C15" i="3"/>
  <c r="C16" i="3"/>
  <c r="C16" i="2"/>
  <c r="C17" i="2"/>
  <c r="C18" i="2"/>
  <c r="C13" i="4" l="1"/>
  <c r="F12" i="4"/>
  <c r="D13" i="4" l="1"/>
  <c r="E13" i="4"/>
  <c r="F13" i="4" l="1"/>
  <c r="C14" i="4"/>
  <c r="D14" i="4" l="1"/>
  <c r="E14" i="4" s="1"/>
  <c r="F14" i="4" l="1"/>
  <c r="C15" i="4"/>
  <c r="D15" i="4" l="1"/>
  <c r="E15" i="4" s="1"/>
  <c r="C16" i="4" l="1"/>
  <c r="F15" i="4"/>
  <c r="D16" i="4" l="1"/>
  <c r="E16" i="4" s="1"/>
  <c r="F16" i="4" l="1"/>
  <c r="C17" i="4"/>
  <c r="D17" i="4" l="1"/>
  <c r="E17" i="4" s="1"/>
  <c r="F17" i="4" l="1"/>
  <c r="C18" i="4"/>
  <c r="D18" i="4" l="1"/>
  <c r="E18" i="4" s="1"/>
  <c r="F18" i="4" l="1"/>
  <c r="C19" i="4"/>
  <c r="D19" i="4" l="1"/>
  <c r="E19" i="4" s="1"/>
  <c r="F19" i="4" l="1"/>
  <c r="C20" i="4"/>
  <c r="D20" i="4" l="1"/>
  <c r="E20" i="4" s="1"/>
  <c r="F20" i="4" l="1"/>
  <c r="C21" i="4"/>
  <c r="D21" i="4" l="1"/>
  <c r="E21" i="4" s="1"/>
  <c r="F21" i="4" l="1"/>
  <c r="C22" i="4"/>
  <c r="D22" i="4" l="1"/>
  <c r="E22" i="4"/>
  <c r="F22" i="4" l="1"/>
  <c r="C23" i="4"/>
  <c r="D23" i="4" l="1"/>
  <c r="E23" i="4" s="1"/>
  <c r="F23" i="4" l="1"/>
  <c r="C24" i="4"/>
  <c r="D24" i="4" l="1"/>
  <c r="E24" i="4" s="1"/>
  <c r="F24" i="4" l="1"/>
  <c r="C25" i="4"/>
  <c r="D25" i="4" l="1"/>
  <c r="E25" i="4"/>
  <c r="F25" i="4" l="1"/>
  <c r="C26" i="4"/>
  <c r="D26" i="4" l="1"/>
  <c r="E26" i="4" s="1"/>
  <c r="F26" i="4" l="1"/>
  <c r="C27" i="4"/>
  <c r="D27" i="4" l="1"/>
  <c r="E27" i="4" s="1"/>
  <c r="F27" i="4" l="1"/>
  <c r="C28" i="4"/>
  <c r="D28" i="4" l="1"/>
  <c r="E28" i="4" s="1"/>
  <c r="F28" i="4" l="1"/>
  <c r="C29" i="4"/>
  <c r="D29" i="4" l="1"/>
  <c r="E29" i="4" s="1"/>
  <c r="C30" i="4" l="1"/>
  <c r="F29" i="4"/>
  <c r="D30" i="4" l="1"/>
  <c r="E30" i="4" s="1"/>
  <c r="F30" i="4" l="1"/>
  <c r="C31" i="4"/>
  <c r="D31" i="4" l="1"/>
  <c r="E31" i="4" s="1"/>
  <c r="C32" i="4" l="1"/>
  <c r="F31" i="4"/>
  <c r="D32" i="4" l="1"/>
  <c r="E32" i="4"/>
  <c r="F32" i="4" l="1"/>
  <c r="C33" i="4"/>
  <c r="D33" i="4" l="1"/>
  <c r="E33" i="4"/>
  <c r="C34" i="4" l="1"/>
  <c r="F33" i="4"/>
  <c r="D34" i="4" l="1"/>
  <c r="E34" i="4" s="1"/>
  <c r="F34" i="4" l="1"/>
  <c r="C35" i="4"/>
  <c r="D35" i="4" l="1"/>
  <c r="E35" i="4" s="1"/>
  <c r="F35" i="4" l="1"/>
  <c r="C36" i="4"/>
  <c r="D36" i="4" l="1"/>
  <c r="E36" i="4" s="1"/>
  <c r="C37" i="4" l="1"/>
  <c r="F36" i="4"/>
  <c r="D37" i="4" l="1"/>
  <c r="E37" i="4" s="1"/>
  <c r="C38" i="4" l="1"/>
  <c r="F37" i="4"/>
  <c r="D38" i="4" l="1"/>
  <c r="E38" i="4" s="1"/>
  <c r="F38" i="4" l="1"/>
  <c r="C39" i="4"/>
  <c r="D39" i="4" l="1"/>
  <c r="E39" i="4"/>
  <c r="F39" i="4" l="1"/>
  <c r="C40" i="4"/>
  <c r="D40" i="4" l="1"/>
  <c r="E40" i="4"/>
  <c r="F40" i="4" l="1"/>
  <c r="C41" i="4"/>
  <c r="D41" i="4" l="1"/>
  <c r="E41" i="4" s="1"/>
  <c r="F41" i="4" s="1"/>
</calcChain>
</file>

<file path=xl/sharedStrings.xml><?xml version="1.0" encoding="utf-8"?>
<sst xmlns="http://schemas.openxmlformats.org/spreadsheetml/2006/main" count="301" uniqueCount="188">
  <si>
    <t>GLOBEFIN  ·  TIME VALUE OF MONEY  ·  STUDENT TOOLKIT</t>
  </si>
  <si>
    <t>Module 03  ·  Foundations of Finance</t>
  </si>
  <si>
    <t>Welcome.</t>
  </si>
  <si>
    <t>This workbook accompanies the Time Value of Money lesson at Globefin.org. It gives you live calculators for Future Value and Present Value, a year-by-year growth schedule, six practice problems with automatic answer checking, and a reference card for Excel's financial functions.
Yellow cells are inputs — change them freely. Black cells are formulas — click them to see how they work.</t>
  </si>
  <si>
    <t>What's in this workbook</t>
  </si>
  <si>
    <t>→</t>
  </si>
  <si>
    <t>FV Calculator</t>
  </si>
  <si>
    <t>Compute future value with any rate, term, and compounding frequency.</t>
  </si>
  <si>
    <t>PV Calculator</t>
  </si>
  <si>
    <t>Discount any future amount back to today's worth.</t>
  </si>
  <si>
    <t>Year-by-Year</t>
  </si>
  <si>
    <t>See your money grow one year at a time, with interest broken out.</t>
  </si>
  <si>
    <t>Practice Problems</t>
  </si>
  <si>
    <t>Six city scenarios. Type your answer and the sheet checks you instantly.</t>
  </si>
  <si>
    <t>Excel Functions</t>
  </si>
  <si>
    <t>Reference card for FV, PV, NPER, RATE, and PMT — with examples.</t>
  </si>
  <si>
    <t>A note on Excel's sign convention</t>
  </si>
  <si>
    <t>Excel's FV() and PV() functions treat money you pay out as negative and money you receive as positive. If you deposit $1,000 today, that's −1,000 from your perspective. If you'll receive $5,000 in five years, that's +5,000.
To keep results positive in this workbook, we negate the output where needed (e.g., =−PV(...)). You'll see this pattern throughout — and the manual formula is shown alongside so you can verify.</t>
  </si>
  <si>
    <t>FUTURE VALUE CALCULATOR</t>
  </si>
  <si>
    <t>How much will today's money grow into? Change any yellow cell.</t>
  </si>
  <si>
    <t>INPUTS</t>
  </si>
  <si>
    <t>Currency symbol</t>
  </si>
  <si>
    <t>$</t>
  </si>
  <si>
    <t>← e.g.  $   €   £   ¥   ₹   R$</t>
  </si>
  <si>
    <t>Present value (today)</t>
  </si>
  <si>
    <t>← the seed amount you start with</t>
  </si>
  <si>
    <t>Annual interest rate</t>
  </si>
  <si>
    <t>← enter as decimal: 6.5% = 0.065</t>
  </si>
  <si>
    <t>Time horizon (years)</t>
  </si>
  <si>
    <t>← how many years it grows</t>
  </si>
  <si>
    <t>← 1 = annual, 12 = monthly, 365 = daily</t>
  </si>
  <si>
    <t>RESULTS</t>
  </si>
  <si>
    <t>Future value (manual formula)</t>
  </si>
  <si>
    <t xml:space="preserve">  PV × (1 + r/m)^(m·n)</t>
  </si>
  <si>
    <t>Future value (Excel FV function)</t>
  </si>
  <si>
    <t xml:space="preserve">  FV(rate/m, n*m, 0, -PV)</t>
  </si>
  <si>
    <t>Future value (with currency)</t>
  </si>
  <si>
    <t>Total interest earned</t>
  </si>
  <si>
    <t>Growth multiplier</t>
  </si>
  <si>
    <t>Effective annual yield</t>
  </si>
  <si>
    <t>← what your stated rate actually earns once compounding kicks in</t>
  </si>
  <si>
    <t>EXCEL TIPS</t>
  </si>
  <si>
    <t>FV() syntax:</t>
  </si>
  <si>
    <t xml:space="preserve"> =FV(rate, nper, pmt, [pv], [type])</t>
  </si>
  <si>
    <t>rate</t>
  </si>
  <si>
    <t>interest rate per period (not per year, if compounding sub-annually)</t>
  </si>
  <si>
    <t>nper</t>
  </si>
  <si>
    <t>total number of periods (years × compounding frequency)</t>
  </si>
  <si>
    <t>pmt</t>
  </si>
  <si>
    <t>regular payment each period — use 0 for a single lump-sum deposit</t>
  </si>
  <si>
    <t>pv</t>
  </si>
  <si>
    <t>present value, ENTERED AS NEGATIVE if it's money you pay in</t>
  </si>
  <si>
    <t>Returns</t>
  </si>
  <si>
    <t>the future value as a POSITIVE number when pv was entered negative</t>
  </si>
  <si>
    <t>PRESENT VALUE CALCULATOR</t>
  </si>
  <si>
    <t>What is a future amount worth in today's money?</t>
  </si>
  <si>
    <t>Future amount</t>
  </si>
  <si>
    <t>← the promised sum at the future date</t>
  </si>
  <si>
    <t>Annual discount rate</t>
  </si>
  <si>
    <t>← what you could earn elsewhere on similar risk</t>
  </si>
  <si>
    <t>Years from now</t>
  </si>
  <si>
    <t>← when the future amount arrives</t>
  </si>
  <si>
    <t>Present value (manual formula)</t>
  </si>
  <si>
    <t xml:space="preserve">  FV ÷ (1 + r)^n</t>
  </si>
  <si>
    <t>Present value (Excel PV function)</t>
  </si>
  <si>
    <t xml:space="preserve">  -PV(rate, n, 0, FV)   ← negate for positive output</t>
  </si>
  <si>
    <t>Present value (with currency)</t>
  </si>
  <si>
    <t>Discount (amount lost to time)</t>
  </si>
  <si>
    <t>Discount factor</t>
  </si>
  <si>
    <t>← multiply any future amount by this to get today's worth</t>
  </si>
  <si>
    <t>PV() syntax:</t>
  </si>
  <si>
    <t xml:space="preserve"> =PV(rate, nper, pmt, [fv], [type])</t>
  </si>
  <si>
    <t>discount rate per period</t>
  </si>
  <si>
    <t>number of periods until the future amount arrives</t>
  </si>
  <si>
    <t>0 for a single future amount; non-zero for an annuity</t>
  </si>
  <si>
    <t>fv</t>
  </si>
  <si>
    <t>the future amount, entered as POSITIVE</t>
  </si>
  <si>
    <t>a NEGATIVE value (the PV you'd 'pay'), so we negate to display positive</t>
  </si>
  <si>
    <t>YEAR-BY-YEAR GROWTH SCHEDULE</t>
  </si>
  <si>
    <t>Inputs pulled live from the FV Calculator sheet. Change values there to see this schedule update.</t>
  </si>
  <si>
    <t>Starting principal</t>
  </si>
  <si>
    <t>Annual rate</t>
  </si>
  <si>
    <t>Years</t>
  </si>
  <si>
    <t>Year</t>
  </si>
  <si>
    <t>Starting Balance</t>
  </si>
  <si>
    <t>Interest Earned</t>
  </si>
  <si>
    <t>Ending Balance</t>
  </si>
  <si>
    <t>Cumulative Multiplier</t>
  </si>
  <si>
    <t>PRACTICE PROBLEMS  ·  SIX CITIES</t>
  </si>
  <si>
    <t>Type your numeric answer in the yellow cell. The Check column tells you instantly whether you're within 2% of the correct value. The Hint column reveals the formula. If you get stuck, the Solution column shows the worked answer.</t>
  </si>
  <si>
    <t xml:space="preserve">  PROBLEM 1  ·  Tokyo · Japan  ·  The Espresso Machine</t>
  </si>
  <si>
    <t>A Shibuya café owner is offered ¥800,000 today, or ¥1,000,000 in 5 years from a supplier rebate. CDs yield 1.5%.</t>
  </si>
  <si>
    <t>What is the present value of the ¥1,000,000 future payment?</t>
  </si>
  <si>
    <t>Given inputs:</t>
  </si>
  <si>
    <t>Your answer</t>
  </si>
  <si>
    <t>Check</t>
  </si>
  <si>
    <t>Hint</t>
  </si>
  <si>
    <t>Solution</t>
  </si>
  <si>
    <t>Future amount (¥)</t>
  </si>
  <si>
    <t>(numeric)</t>
  </si>
  <si>
    <t>(auto)</t>
  </si>
  <si>
    <t>(formula)</t>
  </si>
  <si>
    <t>(correct)</t>
  </si>
  <si>
    <t>Use the PV formula:  PV = FV / (1 + r)^n</t>
  </si>
  <si>
    <t>Explanation:  PV = 1,000,000 / (1.015)^5 = 1,000,000 / 1.0773 ≈ ¥928,260. Take the future payment.</t>
  </si>
  <si>
    <t xml:space="preserve">  PROBLEM 2  ·  São Paulo · Brazil  ·  The Brazilian Bond</t>
  </si>
  <si>
    <t>A Tesouro Selic bond promises R$10,000 in 3 years. Brazilian government bonds yield 11% annually.</t>
  </si>
  <si>
    <t>What is the bond worth today?</t>
  </si>
  <si>
    <t>Future amount (R$)</t>
  </si>
  <si>
    <t>Explanation:  PV = 10,000 / (1.11)^3 = 10,000 / 1.3676 ≈ R$7,312. High discount rates shrink the future fast.</t>
  </si>
  <si>
    <t xml:space="preserve">  PROBLEM 3  ·  Mumbai · India  ·  The SIP Decision</t>
  </si>
  <si>
    <t>A 25-year-old engineer puts ₹50,000 once into an Indian equity fund earning 12% per year, until age 60.</t>
  </si>
  <si>
    <t>What is the lump sum worth at retirement, 35 years later?</t>
  </si>
  <si>
    <t>Present value (₹)</t>
  </si>
  <si>
    <t>Use the FV formula:  FV = PV × (1 + r)^n</t>
  </si>
  <si>
    <t>Explanation:  FV = 50,000 × (1.12)^35 = 50,000 × 52.80 ≈ ₹2,639,981 (₹26.4 lakh).</t>
  </si>
  <si>
    <t xml:space="preserve">  PROBLEM 4  ·  London · United Kingdom  ·  Lottery or Lump?</t>
  </si>
  <si>
    <t>A National Lottery winner can take £500,000 today, or £700,000 in 8 years. A safe gilt fund returns 4.5%.</t>
  </si>
  <si>
    <t>What is the present value of the £700,000 future option?</t>
  </si>
  <si>
    <t>Future amount (£)</t>
  </si>
  <si>
    <t>Compute PV of £700,000 — then compare to the £500,000 lump-sum offer.</t>
  </si>
  <si>
    <t>Explanation:  PV = 700,000 / (1.045)^8 ≈ £492,230. The £500,000 today wins by about £7,800.</t>
  </si>
  <si>
    <t xml:space="preserve">  PROBLEM 5  ·  Frankfurt · Germany  ·  The Pension Question</t>
  </si>
  <si>
    <t>A retiree must choose: €200,000 immediately, or €15,000 per year for 20 years. Eurozone rates sit at 3.5%.</t>
  </si>
  <si>
    <t>What is the present value of the €15,000-per-year annuity? (Use Excel's PV function)</t>
  </si>
  <si>
    <t>Annual payment (€)</t>
  </si>
  <si>
    <t>Annuity PV in Excel:  =-PV(rate, nper, pmt)   — pmt is the annual payment.</t>
  </si>
  <si>
    <t>Explanation:  PV = 15,000 × [1 − (1.035)^−20] / 0.035 ≈ €213,186. The annuity narrowly beats the lump sum.</t>
  </si>
  <si>
    <t xml:space="preserve">  PROBLEM 6  ·  Lagos · Nigeria  ·  The Microloan</t>
  </si>
  <si>
    <t>A market vendor borrows ₦100,000 to expand her stall. The lender charges 4% per MONTH, compounded monthly. Loan runs 12 months.</t>
  </si>
  <si>
    <t>What is the total repayment after 12 months?</t>
  </si>
  <si>
    <t>Principal (₦)</t>
  </si>
  <si>
    <t>Monthly rate</t>
  </si>
  <si>
    <t>Months</t>
  </si>
  <si>
    <t>Use the FV formula but with the MONTHLY rate and number of MONTHS.</t>
  </si>
  <si>
    <t>Explanation:  FV = 100,000 × (1.04)^12 = 100,000 × 1.6010 ≈ ₦160,103. The 4%/month headline = 60.1% effective annual rate.</t>
  </si>
  <si>
    <t>EXCEL FINANCIAL FUNCTIONS  ·  REFERENCE</t>
  </si>
  <si>
    <t>Five core functions answer almost every time-value-of-money question.</t>
  </si>
  <si>
    <t xml:space="preserve">  FV  ·  Future value of a present sum and/or recurring payments</t>
  </si>
  <si>
    <t xml:space="preserve">  =FV(rate, nper, pmt, [pv], [type])</t>
  </si>
  <si>
    <t>Argument</t>
  </si>
  <si>
    <t>Meaning</t>
  </si>
  <si>
    <t>interest rate per period (per month if monthly)</t>
  </si>
  <si>
    <t>total number of compounding periods</t>
  </si>
  <si>
    <t>regular payment each period (use 0 for a single lump sum)</t>
  </si>
  <si>
    <t>present value, ENTERED AS NEGATIVE for money you're paying in</t>
  </si>
  <si>
    <t>type</t>
  </si>
  <si>
    <t>0 = end-of-period (default), 1 = beginning-of-period</t>
  </si>
  <si>
    <t>Example:</t>
  </si>
  <si>
    <t xml:space="preserve">  What does $5,000 grow to after 20 years at 6.5% monthly compounding?</t>
  </si>
  <si>
    <t>Formula:</t>
  </si>
  <si>
    <t xml:space="preserve">  =FV(0.065/12, 20*12, 0, -5000)</t>
  </si>
  <si>
    <t xml:space="preserve">  PV  ·  Present value of a future amount and/or recurring payments</t>
  </si>
  <si>
    <t xml:space="preserve">  =PV(rate, nper, pmt, [fv], [type])</t>
  </si>
  <si>
    <t>total number of periods</t>
  </si>
  <si>
    <t>regular payment each period (use 0 for single future amount)</t>
  </si>
  <si>
    <t>future amount, entered as POSITIVE</t>
  </si>
  <si>
    <t xml:space="preserve">  What is $100,000 in 15 years worth today at a 6% discount rate?</t>
  </si>
  <si>
    <t xml:space="preserve">  =-PV(0.06, 15, 0, 100000)</t>
  </si>
  <si>
    <t xml:space="preserve">  NPER  ·  How many periods to reach a target</t>
  </si>
  <si>
    <t xml:space="preserve">  =NPER(rate, pmt, pv, [fv], [type])</t>
  </si>
  <si>
    <t>interest rate per period</t>
  </si>
  <si>
    <t>regular payment each period (0 for lump sum scenario)</t>
  </si>
  <si>
    <t>present value (negative if you're depositing)</t>
  </si>
  <si>
    <t>target future value (positive)</t>
  </si>
  <si>
    <t>0 or 1, as above</t>
  </si>
  <si>
    <t xml:space="preserve">  How many years until $1,000 doubles to $2,000 at 7% annually?</t>
  </si>
  <si>
    <t xml:space="preserve">  =NPER(0.07, 0, -1000, 2000)</t>
  </si>
  <si>
    <t xml:space="preserve">  RATE  ·  What interest rate is implied by these cash flows</t>
  </si>
  <si>
    <t xml:space="preserve">  =RATE(nper, pmt, pv, [fv], [type], [guess])</t>
  </si>
  <si>
    <t>number of periods</t>
  </si>
  <si>
    <t>payment per period (0 for lump sum)</t>
  </si>
  <si>
    <t>present value (negative for outflow)</t>
  </si>
  <si>
    <t>future value (positive for inflow)</t>
  </si>
  <si>
    <t>guess</t>
  </si>
  <si>
    <t>optional starting guess (default 10%); rarely needed</t>
  </si>
  <si>
    <t xml:space="preserve">  What annual rate turns $5,000 today into $20,000 in 20 years?</t>
  </si>
  <si>
    <t xml:space="preserve">  =RATE(20, 0, -5000, 20000)</t>
  </si>
  <si>
    <t xml:space="preserve">  PMT  ·  Regular payment to amortize a loan or hit a savings target</t>
  </si>
  <si>
    <t xml:space="preserve">  =PMT(rate, nper, pv, [fv], [type])</t>
  </si>
  <si>
    <t>loan amount (positive) or savings start (negative)</t>
  </si>
  <si>
    <t>balloon balance or target (default 0)</t>
  </si>
  <si>
    <t>0 or 1</t>
  </si>
  <si>
    <t xml:space="preserve">  Monthly payment on a $250,000, 30-year mortgage at 6% APR?</t>
  </si>
  <si>
    <t xml:space="preserve">  =-PMT(0.06/12, 30*12, 250000)</t>
  </si>
  <si>
    <t>The Sign Convention</t>
  </si>
  <si>
    <t>Excel models cash flows from your perspective. Money flowing OUT (deposits, loan disbursements, premium payments) is NEGATIVE. Money flowing IN (interest earned, loan principal received, payouts) is POSITIVE. If your result has the wrong sign, you've simply flipped the perspective — multiply by −1 (or prefix the function with a minus, as in =-PV(...)).</t>
  </si>
  <si>
    <t>Compounding periods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</si>
</sst>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
    <numFmt numFmtId="167" formatCode="0.0000"/>
    <numFmt numFmtId="168" formatCode="0.00&quot; yrs&quot;"/>
  </numFmts>
  <fonts count="22" x14ac:knownFonts="1">
    <font>
      <sz val="11"/>
      <color theme="1"/>
      <name val="Calibri"/>
      <family val="2"/>
      <charset val="1"/>
    </font>
    <font>
      <b/>
      <sz val="14"/>
      <color rgb="FFFFFFFF"/>
      <name val="Calibri"/>
      <charset val="1"/>
    </font>
    <font>
      <i/>
      <sz val="11"/>
      <color rgb="FF6B1E2E"/>
      <name val="Calibri"/>
      <charset val="1"/>
    </font>
    <font>
      <b/>
      <sz val="13"/>
      <color rgb="FF6B1E2E"/>
      <name val="Calibri"/>
      <charset val="1"/>
    </font>
    <font>
      <sz val="11"/>
      <name val="Calibri"/>
      <charset val="1"/>
    </font>
    <font>
      <b/>
      <sz val="11"/>
      <color rgb="FF6B1E2E"/>
      <name val="Calibri"/>
      <charset val="1"/>
    </font>
    <font>
      <b/>
      <sz val="11"/>
      <color rgb="FF000000"/>
      <name val="Calibri"/>
      <charset val="1"/>
    </font>
    <font>
      <sz val="11"/>
      <color rgb="FF000000"/>
      <name val="Calibri"/>
      <charset val="1"/>
    </font>
    <font>
      <i/>
      <sz val="11"/>
      <color rgb="FF595959"/>
      <name val="Calibri"/>
      <charset val="1"/>
    </font>
    <font>
      <b/>
      <sz val="11"/>
      <color rgb="FF0000FF"/>
      <name val="Calibri"/>
      <charset val="1"/>
    </font>
    <font>
      <i/>
      <sz val="10"/>
      <color rgb="FF595959"/>
      <name val="Calibri"/>
      <charset val="1"/>
    </font>
    <font>
      <sz val="10"/>
      <color rgb="FF000000"/>
      <name val="Consolas"/>
      <charset val="1"/>
    </font>
    <font>
      <sz val="11"/>
      <color rgb="FF008000"/>
      <name val="Calibri"/>
      <charset val="1"/>
    </font>
    <font>
      <b/>
      <sz val="11"/>
      <color rgb="FFFFFFFF"/>
      <name val="Calibri"/>
      <charset val="1"/>
    </font>
    <font>
      <b/>
      <sz val="12"/>
      <color rgb="FFFFFFFF"/>
      <name val="Calibri"/>
      <charset val="1"/>
    </font>
    <font>
      <b/>
      <i/>
      <sz val="11"/>
      <color rgb="FF6B1E2E"/>
      <name val="Calibri"/>
      <charset val="1"/>
    </font>
    <font>
      <b/>
      <sz val="10"/>
      <color rgb="FF595959"/>
      <name val="Calibri"/>
      <charset val="1"/>
    </font>
    <font>
      <sz val="9"/>
      <color rgb="FF595959"/>
      <name val="Consolas"/>
      <charset val="1"/>
    </font>
    <font>
      <i/>
      <sz val="10"/>
      <color rgb="FF404040"/>
      <name val="Calibri"/>
      <charset val="1"/>
    </font>
    <font>
      <b/>
      <sz val="11"/>
      <color rgb="FF000000"/>
      <name val="Consolas"/>
      <charset val="1"/>
    </font>
    <font>
      <b/>
      <i/>
      <sz val="10"/>
      <color rgb="FF6B1E2E"/>
      <name val="Calibri"/>
      <charset val="1"/>
    </font>
    <font>
      <i/>
      <sz val="10"/>
      <name val="Calibri"/>
      <charset val="1"/>
    </font>
  </fonts>
  <fills count="8">
    <fill>
      <patternFill patternType="none"/>
    </fill>
    <fill>
      <patternFill patternType="gray125"/>
    </fill>
    <fill>
      <patternFill patternType="solid">
        <fgColor rgb="FF1A1A1A"/>
        <bgColor rgb="FF003300"/>
      </patternFill>
    </fill>
    <fill>
      <patternFill patternType="solid">
        <fgColor rgb="FFFFF2CC"/>
        <bgColor rgb="FFF4ECD8"/>
      </patternFill>
    </fill>
    <fill>
      <patternFill patternType="solid">
        <fgColor rgb="FFE2EFD9"/>
        <bgColor rgb="FFF4ECD8"/>
      </patternFill>
    </fill>
    <fill>
      <patternFill patternType="solid">
        <fgColor rgb="FFFAF6ED"/>
        <bgColor rgb="FFFFFFFF"/>
      </patternFill>
    </fill>
    <fill>
      <patternFill patternType="solid">
        <fgColor rgb="FF6B1E2E"/>
        <bgColor rgb="FF800000"/>
      </patternFill>
    </fill>
    <fill>
      <patternFill patternType="solid">
        <fgColor rgb="FFF4ECD8"/>
        <bgColor rgb="FFFFF2CC"/>
      </patternFill>
    </fill>
  </fills>
  <borders count="3">
    <border>
      <left/>
      <right/>
      <top/>
      <bottom/>
      <diagonal/>
    </border>
    <border>
      <left style="thin">
        <color rgb="FFBFBFBF"/>
      </left>
      <right style="thin">
        <color rgb="FFBFBFBF"/>
      </right>
      <top style="thin">
        <color rgb="FFBFBFBF"/>
      </top>
      <bottom style="thin">
        <color rgb="FFBFBFBF"/>
      </bottom>
      <diagonal/>
    </border>
    <border>
      <left/>
      <right/>
      <top/>
      <bottom style="medium">
        <color rgb="FF1A1A1A"/>
      </bottom>
      <diagonal/>
    </border>
  </borders>
  <cellStyleXfs count="1">
    <xf numFmtId="0" fontId="0" fillId="0" borderId="0"/>
  </cellStyleXfs>
  <cellXfs count="58">
    <xf numFmtId="0" fontId="0" fillId="0" borderId="0" xfId="0"/>
    <xf numFmtId="0" fontId="16" fillId="0" borderId="2" xfId="0" applyFont="1" applyBorder="1"/>
    <xf numFmtId="0" fontId="19" fillId="7" borderId="0" xfId="0" applyFont="1" applyFill="1" applyAlignment="1">
      <alignment horizontal="left" vertical="center"/>
    </xf>
    <xf numFmtId="0" fontId="18" fillId="5" borderId="0" xfId="0" applyFont="1" applyFill="1" applyAlignment="1">
      <alignment horizontal="left" vertical="top" wrapText="1"/>
    </xf>
    <xf numFmtId="0" fontId="15" fillId="0" borderId="0" xfId="0" applyFont="1" applyAlignment="1">
      <alignment horizontal="left" vertical="center"/>
    </xf>
    <xf numFmtId="0" fontId="4" fillId="7" borderId="0" xfId="0" applyFont="1" applyFill="1" applyAlignment="1">
      <alignment horizontal="left" vertical="top" wrapText="1"/>
    </xf>
    <xf numFmtId="0" fontId="14" fillId="6" borderId="0" xfId="0" applyFont="1" applyFill="1" applyAlignment="1">
      <alignment horizontal="left" vertical="center"/>
    </xf>
    <xf numFmtId="0" fontId="10" fillId="0" borderId="0" xfId="0" applyFont="1" applyAlignment="1">
      <alignment horizontal="left" vertical="top" wrapText="1"/>
    </xf>
    <xf numFmtId="0" fontId="10"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left" vertical="top" wrapText="1"/>
    </xf>
    <xf numFmtId="0" fontId="3" fillId="0" borderId="0" xfId="0" applyFont="1" applyAlignment="1">
      <alignment horizontal="left" vertical="center"/>
    </xf>
    <xf numFmtId="0" fontId="2" fillId="0" borderId="0" xfId="0" applyFont="1" applyAlignment="1">
      <alignment horizontal="center" vertical="center"/>
    </xf>
    <xf numFmtId="0" fontId="1" fillId="2" borderId="0" xfId="0" applyFont="1" applyFill="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6" fillId="0" borderId="0" xfId="0" applyFont="1"/>
    <xf numFmtId="0" fontId="7" fillId="0" borderId="0" xfId="0" applyFont="1" applyAlignment="1">
      <alignment horizontal="left" vertical="center"/>
    </xf>
    <xf numFmtId="0" fontId="9" fillId="3" borderId="1" xfId="0" applyFont="1" applyFill="1" applyBorder="1" applyAlignment="1">
      <alignment horizontal="center" vertical="center"/>
    </xf>
    <xf numFmtId="0" fontId="10" fillId="0" borderId="0" xfId="0" applyFont="1" applyAlignment="1">
      <alignment horizontal="left" vertical="center"/>
    </xf>
    <xf numFmtId="164" fontId="9" fillId="3" borderId="1" xfId="0" applyNumberFormat="1" applyFont="1" applyFill="1" applyBorder="1" applyAlignment="1">
      <alignment horizontal="center" vertical="center"/>
    </xf>
    <xf numFmtId="165" fontId="9" fillId="3"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0" fontId="11" fillId="0" borderId="0" xfId="0" applyFont="1"/>
    <xf numFmtId="0" fontId="6" fillId="4" borderId="1" xfId="0" applyFont="1" applyFill="1" applyBorder="1" applyAlignment="1">
      <alignment horizontal="center" vertical="center"/>
    </xf>
    <xf numFmtId="164" fontId="7" fillId="0" borderId="0" xfId="0" applyNumberFormat="1" applyFont="1" applyAlignment="1">
      <alignment horizontal="center" vertical="center"/>
    </xf>
    <xf numFmtId="166" fontId="7" fillId="0" borderId="0" xfId="0" applyNumberFormat="1" applyFont="1" applyAlignment="1">
      <alignment horizontal="center" vertical="center"/>
    </xf>
    <xf numFmtId="165" fontId="7" fillId="0" borderId="0" xfId="0" applyNumberFormat="1" applyFont="1" applyAlignment="1">
      <alignment horizontal="center" vertical="center"/>
    </xf>
    <xf numFmtId="0" fontId="10" fillId="0" borderId="0" xfId="0" applyFont="1"/>
    <xf numFmtId="0" fontId="11" fillId="0" borderId="0" xfId="0" applyFont="1" applyAlignment="1">
      <alignment horizontal="right" vertical="center"/>
    </xf>
    <xf numFmtId="167" fontId="7" fillId="0" borderId="0" xfId="0" applyNumberFormat="1" applyFont="1" applyAlignment="1">
      <alignment horizontal="center" vertical="center"/>
    </xf>
    <xf numFmtId="0" fontId="10" fillId="0" borderId="0" xfId="0" applyFont="1" applyAlignment="1">
      <alignment horizontal="center" vertical="center"/>
    </xf>
    <xf numFmtId="16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13" fillId="2" borderId="1" xfId="0" applyFont="1" applyFill="1" applyBorder="1" applyAlignment="1">
      <alignment horizontal="center" vertical="center"/>
    </xf>
    <xf numFmtId="0" fontId="7" fillId="0" borderId="0" xfId="0" applyFont="1" applyAlignment="1">
      <alignment horizontal="center" vertical="center"/>
    </xf>
    <xf numFmtId="164" fontId="0" fillId="0" borderId="0" xfId="0" applyNumberFormat="1" applyAlignment="1">
      <alignment horizontal="center" vertical="center"/>
    </xf>
    <xf numFmtId="164" fontId="6" fillId="0" borderId="0" xfId="0" applyNumberFormat="1" applyFont="1" applyAlignment="1">
      <alignment horizontal="center" vertical="center"/>
    </xf>
    <xf numFmtId="166" fontId="0" fillId="0" borderId="0" xfId="0" applyNumberFormat="1" applyAlignment="1">
      <alignment horizontal="center" vertical="center"/>
    </xf>
    <xf numFmtId="0" fontId="7" fillId="5" borderId="0" xfId="0" applyFont="1" applyFill="1" applyAlignment="1">
      <alignment horizontal="center" vertical="center"/>
    </xf>
    <xf numFmtId="164" fontId="7" fillId="5" borderId="0" xfId="0" applyNumberFormat="1" applyFont="1" applyFill="1" applyAlignment="1">
      <alignment horizontal="center" vertical="center"/>
    </xf>
    <xf numFmtId="164" fontId="6" fillId="5" borderId="0" xfId="0" applyNumberFormat="1" applyFont="1" applyFill="1" applyAlignment="1">
      <alignment horizontal="center" vertical="center"/>
    </xf>
    <xf numFmtId="166" fontId="7" fillId="5" borderId="0" xfId="0" applyNumberFormat="1" applyFont="1" applyFill="1" applyAlignment="1">
      <alignment horizontal="center" vertical="center"/>
    </xf>
    <xf numFmtId="0" fontId="16" fillId="0" borderId="2" xfId="0" applyFont="1" applyBorder="1" applyAlignment="1">
      <alignment horizontal="center" vertical="center"/>
    </xf>
    <xf numFmtId="164" fontId="7" fillId="7" borderId="1" xfId="0" applyNumberFormat="1" applyFont="1" applyFill="1" applyBorder="1" applyAlignment="1">
      <alignment horizontal="center" vertical="center"/>
    </xf>
    <xf numFmtId="165" fontId="7" fillId="7"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17" fillId="0" borderId="0" xfId="0" applyFont="1" applyAlignment="1">
      <alignment horizontal="left" vertical="center" wrapText="1"/>
    </xf>
    <xf numFmtId="0" fontId="16" fillId="0" borderId="2" xfId="0" applyFont="1" applyBorder="1"/>
    <xf numFmtId="0" fontId="11" fillId="0" borderId="0" xfId="0" applyFont="1" applyAlignment="1">
      <alignment horizontal="left" vertical="center"/>
    </xf>
    <xf numFmtId="0" fontId="20" fillId="0" borderId="0" xfId="0" applyFont="1" applyAlignment="1">
      <alignment horizontal="left" vertical="center"/>
    </xf>
    <xf numFmtId="0" fontId="7" fillId="0" borderId="0" xfId="0" applyFont="1" applyAlignment="1">
      <alignment horizontal="right" vertical="center"/>
    </xf>
    <xf numFmtId="168" fontId="6" fillId="4" borderId="1" xfId="0" applyNumberFormat="1" applyFont="1" applyFill="1" applyBorder="1" applyAlignment="1">
      <alignment horizontal="center" vertical="center"/>
    </xf>
    <xf numFmtId="165" fontId="6" fillId="4" borderId="1" xfId="0" applyNumberFormat="1" applyFont="1" applyFill="1" applyBorder="1" applyAlignment="1">
      <alignment horizontal="center" vertical="center"/>
    </xf>
    <xf numFmtId="0" fontId="7" fillId="0" borderId="0" xfId="0" applyFont="1" applyAlignment="1">
      <alignment horizontal="left" vertical="top" wrapText="1"/>
    </xf>
    <xf numFmtId="0" fontId="21" fillId="0" borderId="0" xfId="0" applyFont="1" applyAlignment="1">
      <alignment horizontal="left" vertical="center"/>
    </xf>
    <xf numFmtId="0" fontId="11" fillId="7"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FAF6ED"/>
      <rgbColor rgb="FF6B1E2E"/>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EFD9"/>
      <rgbColor rgb="FFF4ECD8"/>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3"/>
  <sheetViews>
    <sheetView showGridLines="0" zoomScaleNormal="100" workbookViewId="0"/>
  </sheetViews>
  <sheetFormatPr defaultColWidth="8.6328125" defaultRowHeight="14.5" x14ac:dyDescent="0.35"/>
  <cols>
    <col min="1" max="1" width="3" customWidth="1"/>
    <col min="2" max="2" width="6" customWidth="1"/>
    <col min="3" max="3" width="22" customWidth="1"/>
    <col min="4" max="8" width="13" customWidth="1"/>
  </cols>
  <sheetData>
    <row r="1" spans="2:8" ht="7.5" customHeight="1" x14ac:dyDescent="0.35"/>
    <row r="2" spans="2:8" ht="36" customHeight="1" x14ac:dyDescent="0.35">
      <c r="B2" s="14" t="s">
        <v>0</v>
      </c>
      <c r="C2" s="14"/>
      <c r="D2" s="14"/>
      <c r="E2" s="14"/>
      <c r="F2" s="14"/>
      <c r="G2" s="14"/>
      <c r="H2" s="14"/>
    </row>
    <row r="3" spans="2:8" ht="6" customHeight="1" x14ac:dyDescent="0.35"/>
    <row r="4" spans="2:8" ht="24" customHeight="1" x14ac:dyDescent="0.35">
      <c r="B4" s="13" t="s">
        <v>1</v>
      </c>
      <c r="C4" s="13"/>
      <c r="D4" s="13"/>
      <c r="E4" s="13"/>
      <c r="F4" s="13"/>
      <c r="G4" s="13"/>
      <c r="H4" s="13"/>
    </row>
    <row r="5" spans="2:8" ht="15.75" customHeight="1" x14ac:dyDescent="0.35"/>
    <row r="6" spans="2:8" ht="21.75" customHeight="1" x14ac:dyDescent="0.35">
      <c r="B6" s="12" t="s">
        <v>2</v>
      </c>
      <c r="C6" s="12"/>
      <c r="D6" s="12"/>
      <c r="E6" s="12"/>
      <c r="F6" s="12"/>
      <c r="G6" s="12"/>
      <c r="H6" s="12"/>
    </row>
    <row r="7" spans="2:8" ht="18" customHeight="1" x14ac:dyDescent="0.35">
      <c r="B7" s="11" t="s">
        <v>3</v>
      </c>
      <c r="C7" s="11"/>
      <c r="D7" s="11"/>
      <c r="E7" s="11"/>
      <c r="F7" s="11"/>
      <c r="G7" s="11"/>
      <c r="H7" s="11"/>
    </row>
    <row r="8" spans="2:8" ht="18" customHeight="1" x14ac:dyDescent="0.35">
      <c r="B8" s="11"/>
      <c r="C8" s="11"/>
      <c r="D8" s="11"/>
      <c r="E8" s="11"/>
      <c r="F8" s="11"/>
      <c r="G8" s="11"/>
      <c r="H8" s="11"/>
    </row>
    <row r="9" spans="2:8" ht="18" customHeight="1" x14ac:dyDescent="0.35">
      <c r="B9" s="11"/>
      <c r="C9" s="11"/>
      <c r="D9" s="11"/>
      <c r="E9" s="11"/>
      <c r="F9" s="11"/>
      <c r="G9" s="11"/>
      <c r="H9" s="11"/>
    </row>
    <row r="10" spans="2:8" ht="18" customHeight="1" x14ac:dyDescent="0.35">
      <c r="B10" s="11"/>
      <c r="C10" s="11"/>
      <c r="D10" s="11"/>
      <c r="E10" s="11"/>
      <c r="F10" s="11"/>
      <c r="G10" s="11"/>
      <c r="H10" s="11"/>
    </row>
    <row r="11" spans="2:8" ht="18" customHeight="1" x14ac:dyDescent="0.35"/>
    <row r="12" spans="2:8" ht="21.75" customHeight="1" x14ac:dyDescent="0.35">
      <c r="B12" s="12" t="s">
        <v>4</v>
      </c>
      <c r="C12" s="12"/>
      <c r="D12" s="12"/>
      <c r="E12" s="12"/>
      <c r="F12" s="12"/>
      <c r="G12" s="12"/>
      <c r="H12" s="12"/>
    </row>
    <row r="13" spans="2:8" ht="19.5" customHeight="1" x14ac:dyDescent="0.35">
      <c r="B13" s="16" t="s">
        <v>5</v>
      </c>
      <c r="C13" s="17" t="s">
        <v>6</v>
      </c>
      <c r="D13" s="10" t="s">
        <v>7</v>
      </c>
      <c r="E13" s="10"/>
      <c r="F13" s="10"/>
      <c r="G13" s="10"/>
      <c r="H13" s="10"/>
    </row>
    <row r="14" spans="2:8" ht="19.5" customHeight="1" x14ac:dyDescent="0.35">
      <c r="B14" s="16" t="s">
        <v>5</v>
      </c>
      <c r="C14" s="17" t="s">
        <v>8</v>
      </c>
      <c r="D14" s="10" t="s">
        <v>9</v>
      </c>
      <c r="E14" s="10"/>
      <c r="F14" s="10"/>
      <c r="G14" s="10"/>
      <c r="H14" s="10"/>
    </row>
    <row r="15" spans="2:8" ht="19.5" customHeight="1" x14ac:dyDescent="0.35">
      <c r="B15" s="16" t="s">
        <v>5</v>
      </c>
      <c r="C15" s="17" t="s">
        <v>10</v>
      </c>
      <c r="D15" s="10" t="s">
        <v>11</v>
      </c>
      <c r="E15" s="10"/>
      <c r="F15" s="10"/>
      <c r="G15" s="10"/>
      <c r="H15" s="10"/>
    </row>
    <row r="16" spans="2:8" ht="19.5" customHeight="1" x14ac:dyDescent="0.35">
      <c r="B16" s="16" t="s">
        <v>5</v>
      </c>
      <c r="C16" s="17" t="s">
        <v>12</v>
      </c>
      <c r="D16" s="10" t="s">
        <v>13</v>
      </c>
      <c r="E16" s="10"/>
      <c r="F16" s="10"/>
      <c r="G16" s="10"/>
      <c r="H16" s="10"/>
    </row>
    <row r="17" spans="2:8" ht="19.5" customHeight="1" x14ac:dyDescent="0.35">
      <c r="B17" s="16" t="s">
        <v>5</v>
      </c>
      <c r="C17" s="17" t="s">
        <v>14</v>
      </c>
      <c r="D17" s="10" t="s">
        <v>15</v>
      </c>
      <c r="E17" s="10"/>
      <c r="F17" s="10"/>
      <c r="G17" s="10"/>
      <c r="H17" s="10"/>
    </row>
    <row r="19" spans="2:8" ht="21.75" customHeight="1" x14ac:dyDescent="0.35">
      <c r="B19" s="12" t="s">
        <v>16</v>
      </c>
      <c r="C19" s="12"/>
      <c r="D19" s="12"/>
      <c r="E19" s="12"/>
      <c r="F19" s="12"/>
      <c r="G19" s="12"/>
      <c r="H19" s="12"/>
    </row>
    <row r="20" spans="2:8" ht="18" customHeight="1" x14ac:dyDescent="0.35">
      <c r="B20" s="11" t="s">
        <v>17</v>
      </c>
      <c r="C20" s="11"/>
      <c r="D20" s="11"/>
      <c r="E20" s="11"/>
      <c r="F20" s="11"/>
      <c r="G20" s="11"/>
      <c r="H20" s="11"/>
    </row>
    <row r="21" spans="2:8" ht="18" customHeight="1" x14ac:dyDescent="0.35">
      <c r="B21" s="11"/>
      <c r="C21" s="11"/>
      <c r="D21" s="11"/>
      <c r="E21" s="11"/>
      <c r="F21" s="11"/>
      <c r="G21" s="11"/>
      <c r="H21" s="11"/>
    </row>
    <row r="22" spans="2:8" ht="18" customHeight="1" x14ac:dyDescent="0.35">
      <c r="B22" s="11"/>
      <c r="C22" s="11"/>
      <c r="D22" s="11"/>
      <c r="E22" s="11"/>
      <c r="F22" s="11"/>
      <c r="G22" s="11"/>
      <c r="H22" s="11"/>
    </row>
    <row r="23" spans="2:8" ht="18" customHeight="1" x14ac:dyDescent="0.35">
      <c r="B23" s="11"/>
      <c r="C23" s="11"/>
      <c r="D23" s="11"/>
      <c r="E23" s="11"/>
      <c r="F23" s="11"/>
      <c r="G23" s="11"/>
      <c r="H23" s="11"/>
    </row>
  </sheetData>
  <mergeCells count="12">
    <mergeCell ref="B19:H19"/>
    <mergeCell ref="B20:H23"/>
    <mergeCell ref="D13:H13"/>
    <mergeCell ref="D14:H14"/>
    <mergeCell ref="D15:H15"/>
    <mergeCell ref="D16:H16"/>
    <mergeCell ref="D17:H17"/>
    <mergeCell ref="B2:H2"/>
    <mergeCell ref="B4:H4"/>
    <mergeCell ref="B6:H6"/>
    <mergeCell ref="B7:H10"/>
    <mergeCell ref="B12:H1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7"/>
  <sheetViews>
    <sheetView showGridLines="0" zoomScaleNormal="100" workbookViewId="0">
      <selection activeCell="B12" sqref="B12"/>
    </sheetView>
  </sheetViews>
  <sheetFormatPr defaultColWidth="8.6328125" defaultRowHeight="14.5" x14ac:dyDescent="0.35"/>
  <cols>
    <col min="1" max="1" width="3" customWidth="1"/>
    <col min="2" max="2" width="32" customWidth="1"/>
    <col min="3" max="3" width="22" customWidth="1"/>
    <col min="4" max="4" width="42" customWidth="1"/>
    <col min="5" max="7" width="12" customWidth="1"/>
  </cols>
  <sheetData>
    <row r="1" spans="2:7" ht="6" customHeight="1" x14ac:dyDescent="0.35"/>
    <row r="2" spans="2:7" ht="31.5" customHeight="1" x14ac:dyDescent="0.35">
      <c r="B2" s="14" t="s">
        <v>18</v>
      </c>
      <c r="C2" s="14"/>
      <c r="D2" s="14"/>
      <c r="E2" s="14"/>
      <c r="F2" s="14"/>
      <c r="G2" s="14"/>
    </row>
    <row r="3" spans="2:7" ht="6" customHeight="1" x14ac:dyDescent="0.35"/>
    <row r="4" spans="2:7" ht="18" customHeight="1" x14ac:dyDescent="0.35">
      <c r="B4" s="9" t="s">
        <v>19</v>
      </c>
      <c r="C4" s="9"/>
      <c r="D4" s="9"/>
      <c r="E4" s="9"/>
      <c r="F4" s="9"/>
      <c r="G4" s="9"/>
    </row>
    <row r="5" spans="2:7" ht="13.5" customHeight="1" x14ac:dyDescent="0.35"/>
    <row r="6" spans="2:7" ht="19.5" customHeight="1" x14ac:dyDescent="0.35">
      <c r="B6" s="15" t="s">
        <v>20</v>
      </c>
    </row>
    <row r="7" spans="2:7" x14ac:dyDescent="0.35">
      <c r="B7" s="18" t="s">
        <v>21</v>
      </c>
      <c r="C7" s="19" t="s">
        <v>22</v>
      </c>
      <c r="D7" s="20" t="s">
        <v>23</v>
      </c>
    </row>
    <row r="8" spans="2:7" x14ac:dyDescent="0.35">
      <c r="B8" s="18" t="s">
        <v>24</v>
      </c>
      <c r="C8" s="21">
        <v>5000</v>
      </c>
      <c r="D8" s="20" t="s">
        <v>25</v>
      </c>
    </row>
    <row r="9" spans="2:7" x14ac:dyDescent="0.35">
      <c r="B9" s="18" t="s">
        <v>26</v>
      </c>
      <c r="C9" s="22">
        <v>6.5000000000000002E-2</v>
      </c>
      <c r="D9" s="20" t="s">
        <v>27</v>
      </c>
    </row>
    <row r="10" spans="2:7" x14ac:dyDescent="0.35">
      <c r="B10" s="18" t="s">
        <v>28</v>
      </c>
      <c r="C10" s="21">
        <v>20</v>
      </c>
      <c r="D10" s="20" t="s">
        <v>29</v>
      </c>
    </row>
    <row r="11" spans="2:7" x14ac:dyDescent="0.35">
      <c r="B11" s="18" t="s">
        <v>187</v>
      </c>
      <c r="C11" s="21">
        <v>12</v>
      </c>
      <c r="D11" s="20" t="s">
        <v>30</v>
      </c>
    </row>
    <row r="12" spans="2:7" ht="13.5" customHeight="1" x14ac:dyDescent="0.35"/>
    <row r="13" spans="2:7" ht="19.5" customHeight="1" x14ac:dyDescent="0.35">
      <c r="B13" s="15" t="s">
        <v>31</v>
      </c>
    </row>
    <row r="14" spans="2:7" x14ac:dyDescent="0.35">
      <c r="B14" s="18" t="s">
        <v>32</v>
      </c>
      <c r="C14" s="23">
        <f>C8*(1+C9/C11)^(C11*C10)</f>
        <v>18282.233509455073</v>
      </c>
      <c r="D14" s="24" t="s">
        <v>33</v>
      </c>
    </row>
    <row r="15" spans="2:7" x14ac:dyDescent="0.35">
      <c r="B15" s="18" t="s">
        <v>34</v>
      </c>
      <c r="C15" s="23">
        <f>FV(C9/C11, C10*C11, 0, -C8)</f>
        <v>18282.233509455073</v>
      </c>
      <c r="D15" s="24" t="s">
        <v>35</v>
      </c>
    </row>
    <row r="16" spans="2:7" x14ac:dyDescent="0.35">
      <c r="B16" s="18" t="s">
        <v>36</v>
      </c>
      <c r="C16" s="25" t="str">
        <f>C7&amp;TEXT(C15,"#,##0")</f>
        <v>$18,282</v>
      </c>
    </row>
    <row r="17" spans="2:7" x14ac:dyDescent="0.35">
      <c r="B17" s="18" t="s">
        <v>37</v>
      </c>
      <c r="C17" s="26">
        <f>C15-C8</f>
        <v>13282.233509455073</v>
      </c>
    </row>
    <row r="18" spans="2:7" x14ac:dyDescent="0.35">
      <c r="B18" s="18" t="s">
        <v>38</v>
      </c>
      <c r="C18" s="27">
        <f>C15/C8</f>
        <v>3.6564467018910145</v>
      </c>
    </row>
    <row r="19" spans="2:7" x14ac:dyDescent="0.35">
      <c r="B19" s="18" t="s">
        <v>39</v>
      </c>
      <c r="C19" s="28">
        <f>(1+C9/C11)^C11-1</f>
        <v>6.6971852002543075E-2</v>
      </c>
      <c r="D19" s="29" t="s">
        <v>40</v>
      </c>
    </row>
    <row r="20" spans="2:7" ht="13.5" customHeight="1" x14ac:dyDescent="0.35"/>
    <row r="21" spans="2:7" ht="19.5" customHeight="1" x14ac:dyDescent="0.35">
      <c r="B21" s="15" t="s">
        <v>41</v>
      </c>
    </row>
    <row r="22" spans="2:7" ht="18" customHeight="1" x14ac:dyDescent="0.35">
      <c r="B22" s="30" t="s">
        <v>42</v>
      </c>
      <c r="C22" s="10" t="s">
        <v>43</v>
      </c>
      <c r="D22" s="10"/>
      <c r="E22" s="10"/>
      <c r="F22" s="10"/>
      <c r="G22" s="10"/>
    </row>
    <row r="23" spans="2:7" ht="18" customHeight="1" x14ac:dyDescent="0.35">
      <c r="B23" s="30" t="s">
        <v>44</v>
      </c>
      <c r="C23" s="10" t="s">
        <v>45</v>
      </c>
      <c r="D23" s="10"/>
      <c r="E23" s="10"/>
      <c r="F23" s="10"/>
      <c r="G23" s="10"/>
    </row>
    <row r="24" spans="2:7" ht="18" customHeight="1" x14ac:dyDescent="0.35">
      <c r="B24" s="30" t="s">
        <v>46</v>
      </c>
      <c r="C24" s="10" t="s">
        <v>47</v>
      </c>
      <c r="D24" s="10"/>
      <c r="E24" s="10"/>
      <c r="F24" s="10"/>
      <c r="G24" s="10"/>
    </row>
    <row r="25" spans="2:7" ht="18" customHeight="1" x14ac:dyDescent="0.35">
      <c r="B25" s="30" t="s">
        <v>48</v>
      </c>
      <c r="C25" s="10" t="s">
        <v>49</v>
      </c>
      <c r="D25" s="10"/>
      <c r="E25" s="10"/>
      <c r="F25" s="10"/>
      <c r="G25" s="10"/>
    </row>
    <row r="26" spans="2:7" ht="18" customHeight="1" x14ac:dyDescent="0.35">
      <c r="B26" s="30" t="s">
        <v>50</v>
      </c>
      <c r="C26" s="10" t="s">
        <v>51</v>
      </c>
      <c r="D26" s="10"/>
      <c r="E26" s="10"/>
      <c r="F26" s="10"/>
      <c r="G26" s="10"/>
    </row>
    <row r="27" spans="2:7" ht="18" customHeight="1" x14ac:dyDescent="0.35">
      <c r="B27" s="30" t="s">
        <v>52</v>
      </c>
      <c r="C27" s="10" t="s">
        <v>53</v>
      </c>
      <c r="D27" s="10"/>
      <c r="E27" s="10"/>
      <c r="F27" s="10"/>
      <c r="G27" s="10"/>
    </row>
  </sheetData>
  <mergeCells count="8">
    <mergeCell ref="C25:G25"/>
    <mergeCell ref="C26:G26"/>
    <mergeCell ref="C27:G27"/>
    <mergeCell ref="B2:G2"/>
    <mergeCell ref="B4:G4"/>
    <mergeCell ref="C22:G22"/>
    <mergeCell ref="C23:G23"/>
    <mergeCell ref="C24:G2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5"/>
  <sheetViews>
    <sheetView showGridLines="0" zoomScaleNormal="100" workbookViewId="0"/>
  </sheetViews>
  <sheetFormatPr defaultColWidth="8.6328125" defaultRowHeight="14.5" x14ac:dyDescent="0.35"/>
  <cols>
    <col min="1" max="1" width="3" customWidth="1"/>
    <col min="2" max="2" width="34" customWidth="1"/>
    <col min="3" max="3" width="22" customWidth="1"/>
    <col min="4" max="4" width="48" customWidth="1"/>
    <col min="5" max="7" width="12" customWidth="1"/>
  </cols>
  <sheetData>
    <row r="1" spans="2:7" ht="6" customHeight="1" x14ac:dyDescent="0.35"/>
    <row r="2" spans="2:7" ht="31.5" customHeight="1" x14ac:dyDescent="0.35">
      <c r="B2" s="14" t="s">
        <v>54</v>
      </c>
      <c r="C2" s="14"/>
      <c r="D2" s="14"/>
      <c r="E2" s="14"/>
      <c r="F2" s="14"/>
      <c r="G2" s="14"/>
    </row>
    <row r="3" spans="2:7" ht="6" customHeight="1" x14ac:dyDescent="0.35"/>
    <row r="4" spans="2:7" ht="18" customHeight="1" x14ac:dyDescent="0.35">
      <c r="B4" s="9" t="s">
        <v>55</v>
      </c>
      <c r="C4" s="9"/>
      <c r="D4" s="9"/>
      <c r="E4" s="9"/>
      <c r="F4" s="9"/>
      <c r="G4" s="9"/>
    </row>
    <row r="5" spans="2:7" ht="13.5" customHeight="1" x14ac:dyDescent="0.35"/>
    <row r="6" spans="2:7" ht="19.5" customHeight="1" x14ac:dyDescent="0.35">
      <c r="B6" s="15" t="s">
        <v>20</v>
      </c>
    </row>
    <row r="7" spans="2:7" x14ac:dyDescent="0.35">
      <c r="B7" s="18" t="s">
        <v>21</v>
      </c>
      <c r="C7" s="19" t="s">
        <v>22</v>
      </c>
      <c r="D7" s="20" t="s">
        <v>23</v>
      </c>
    </row>
    <row r="8" spans="2:7" x14ac:dyDescent="0.35">
      <c r="B8" s="18" t="s">
        <v>56</v>
      </c>
      <c r="C8" s="21">
        <v>100000</v>
      </c>
      <c r="D8" s="20" t="s">
        <v>57</v>
      </c>
    </row>
    <row r="9" spans="2:7" x14ac:dyDescent="0.35">
      <c r="B9" s="18" t="s">
        <v>58</v>
      </c>
      <c r="C9" s="22">
        <v>0.06</v>
      </c>
      <c r="D9" s="20" t="s">
        <v>59</v>
      </c>
    </row>
    <row r="10" spans="2:7" x14ac:dyDescent="0.35">
      <c r="B10" s="18" t="s">
        <v>60</v>
      </c>
      <c r="C10" s="21">
        <v>15</v>
      </c>
      <c r="D10" s="20" t="s">
        <v>61</v>
      </c>
    </row>
    <row r="11" spans="2:7" ht="13.5" customHeight="1" x14ac:dyDescent="0.35"/>
    <row r="12" spans="2:7" ht="19.5" customHeight="1" x14ac:dyDescent="0.35">
      <c r="B12" s="15" t="s">
        <v>31</v>
      </c>
    </row>
    <row r="13" spans="2:7" x14ac:dyDescent="0.35">
      <c r="B13" s="18" t="s">
        <v>62</v>
      </c>
      <c r="C13" s="23">
        <f>C8/(1+C9)^C10</f>
        <v>41726.506073554032</v>
      </c>
      <c r="D13" s="24" t="s">
        <v>63</v>
      </c>
    </row>
    <row r="14" spans="2:7" x14ac:dyDescent="0.35">
      <c r="B14" s="18" t="s">
        <v>64</v>
      </c>
      <c r="C14" s="23">
        <f>-PV(C9, C10, 0, C8)</f>
        <v>41726.506073554032</v>
      </c>
      <c r="D14" s="24" t="s">
        <v>65</v>
      </c>
    </row>
    <row r="15" spans="2:7" x14ac:dyDescent="0.35">
      <c r="B15" s="18" t="s">
        <v>66</v>
      </c>
      <c r="C15" s="25" t="str">
        <f>C7&amp;TEXT(C14,"#,##0")</f>
        <v>$41,727</v>
      </c>
    </row>
    <row r="16" spans="2:7" x14ac:dyDescent="0.35">
      <c r="B16" s="18" t="s">
        <v>67</v>
      </c>
      <c r="C16" s="26">
        <f>C8-C14</f>
        <v>58273.493926445968</v>
      </c>
    </row>
    <row r="17" spans="2:7" x14ac:dyDescent="0.35">
      <c r="B17" s="18" t="s">
        <v>68</v>
      </c>
      <c r="C17" s="31">
        <f>C14/C8</f>
        <v>0.41726506073554032</v>
      </c>
      <c r="D17" s="29" t="s">
        <v>69</v>
      </c>
    </row>
    <row r="18" spans="2:7" ht="13.5" customHeight="1" x14ac:dyDescent="0.35"/>
    <row r="19" spans="2:7" ht="19.5" customHeight="1" x14ac:dyDescent="0.35">
      <c r="B19" s="15" t="s">
        <v>41</v>
      </c>
    </row>
    <row r="20" spans="2:7" ht="18" customHeight="1" x14ac:dyDescent="0.35">
      <c r="B20" s="30" t="s">
        <v>70</v>
      </c>
      <c r="C20" s="10" t="s">
        <v>71</v>
      </c>
      <c r="D20" s="10"/>
      <c r="E20" s="10"/>
      <c r="F20" s="10"/>
      <c r="G20" s="10"/>
    </row>
    <row r="21" spans="2:7" ht="18" customHeight="1" x14ac:dyDescent="0.35">
      <c r="B21" s="30" t="s">
        <v>44</v>
      </c>
      <c r="C21" s="10" t="s">
        <v>72</v>
      </c>
      <c r="D21" s="10"/>
      <c r="E21" s="10"/>
      <c r="F21" s="10"/>
      <c r="G21" s="10"/>
    </row>
    <row r="22" spans="2:7" ht="18" customHeight="1" x14ac:dyDescent="0.35">
      <c r="B22" s="30" t="s">
        <v>46</v>
      </c>
      <c r="C22" s="10" t="s">
        <v>73</v>
      </c>
      <c r="D22" s="10"/>
      <c r="E22" s="10"/>
      <c r="F22" s="10"/>
      <c r="G22" s="10"/>
    </row>
    <row r="23" spans="2:7" ht="18" customHeight="1" x14ac:dyDescent="0.35">
      <c r="B23" s="30" t="s">
        <v>48</v>
      </c>
      <c r="C23" s="10" t="s">
        <v>74</v>
      </c>
      <c r="D23" s="10"/>
      <c r="E23" s="10"/>
      <c r="F23" s="10"/>
      <c r="G23" s="10"/>
    </row>
    <row r="24" spans="2:7" ht="18" customHeight="1" x14ac:dyDescent="0.35">
      <c r="B24" s="30" t="s">
        <v>75</v>
      </c>
      <c r="C24" s="10" t="s">
        <v>76</v>
      </c>
      <c r="D24" s="10"/>
      <c r="E24" s="10"/>
      <c r="F24" s="10"/>
      <c r="G24" s="10"/>
    </row>
    <row r="25" spans="2:7" ht="18" customHeight="1" x14ac:dyDescent="0.35">
      <c r="B25" s="30" t="s">
        <v>52</v>
      </c>
      <c r="C25" s="10" t="s">
        <v>77</v>
      </c>
      <c r="D25" s="10"/>
      <c r="E25" s="10"/>
      <c r="F25" s="10"/>
      <c r="G25" s="10"/>
    </row>
  </sheetData>
  <mergeCells count="8">
    <mergeCell ref="C23:G23"/>
    <mergeCell ref="C24:G24"/>
    <mergeCell ref="C25:G25"/>
    <mergeCell ref="B2:G2"/>
    <mergeCell ref="B4:G4"/>
    <mergeCell ref="C20:G20"/>
    <mergeCell ref="C21:G21"/>
    <mergeCell ref="C22:G2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61"/>
  <sheetViews>
    <sheetView showGridLines="0" tabSelected="1" zoomScaleNormal="100" workbookViewId="0">
      <pane ySplit="10" topLeftCell="A11" activePane="bottomLeft" state="frozen"/>
      <selection pane="bottomLeft" activeCell="F7" sqref="F7"/>
    </sheetView>
  </sheetViews>
  <sheetFormatPr defaultColWidth="8.6328125" defaultRowHeight="14.5" x14ac:dyDescent="0.35"/>
  <cols>
    <col min="1" max="1" width="3" customWidth="1"/>
    <col min="2" max="2" width="16.7265625" customWidth="1"/>
    <col min="3" max="3" width="22" customWidth="1"/>
    <col min="4" max="4" width="20" customWidth="1"/>
    <col min="5" max="5" width="22" customWidth="1"/>
    <col min="6" max="6" width="24" customWidth="1"/>
  </cols>
  <sheetData>
    <row r="1" spans="2:6" ht="6" customHeight="1" x14ac:dyDescent="0.35"/>
    <row r="2" spans="2:6" ht="31.5" customHeight="1" x14ac:dyDescent="0.35">
      <c r="B2" s="14" t="s">
        <v>78</v>
      </c>
      <c r="C2" s="14"/>
      <c r="D2" s="14"/>
      <c r="E2" s="14"/>
      <c r="F2" s="14"/>
    </row>
    <row r="3" spans="2:6" ht="6" customHeight="1" x14ac:dyDescent="0.35"/>
    <row r="4" spans="2:6" ht="18" customHeight="1" x14ac:dyDescent="0.35">
      <c r="B4" s="8" t="s">
        <v>79</v>
      </c>
      <c r="C4" s="8"/>
      <c r="D4" s="8"/>
      <c r="E4" s="8"/>
      <c r="F4" s="8"/>
    </row>
    <row r="5" spans="2:6" ht="12" customHeight="1" x14ac:dyDescent="0.35"/>
    <row r="6" spans="2:6" x14ac:dyDescent="0.35">
      <c r="B6" s="18" t="s">
        <v>80</v>
      </c>
      <c r="C6" s="33">
        <f>'FV Calculator'!C8</f>
        <v>5000</v>
      </c>
    </row>
    <row r="7" spans="2:6" x14ac:dyDescent="0.35">
      <c r="B7" s="18" t="s">
        <v>81</v>
      </c>
      <c r="C7" s="34">
        <v>0.08</v>
      </c>
    </row>
    <row r="8" spans="2:6" x14ac:dyDescent="0.35">
      <c r="B8" s="18" t="s">
        <v>82</v>
      </c>
      <c r="C8" s="33">
        <v>30</v>
      </c>
    </row>
    <row r="9" spans="2:6" ht="12" customHeight="1" x14ac:dyDescent="0.35"/>
    <row r="10" spans="2:6" ht="27.75" customHeight="1" x14ac:dyDescent="0.35">
      <c r="B10" s="35" t="s">
        <v>83</v>
      </c>
      <c r="C10" s="35" t="s">
        <v>84</v>
      </c>
      <c r="D10" s="35" t="s">
        <v>85</v>
      </c>
      <c r="E10" s="35" t="s">
        <v>86</v>
      </c>
      <c r="F10" s="35" t="s">
        <v>87</v>
      </c>
    </row>
    <row r="11" spans="2:6" x14ac:dyDescent="0.35">
      <c r="B11" s="36">
        <v>0</v>
      </c>
      <c r="C11" s="37">
        <f>C6</f>
        <v>5000</v>
      </c>
      <c r="E11" s="38">
        <f>C11</f>
        <v>5000</v>
      </c>
      <c r="F11" s="39">
        <f>E11/$C$6</f>
        <v>1</v>
      </c>
    </row>
    <row r="12" spans="2:6" x14ac:dyDescent="0.35">
      <c r="B12" s="36">
        <f>IF(1&lt;=$C$8,1,"")</f>
        <v>1</v>
      </c>
      <c r="C12" s="26">
        <f>IF(1&lt;=$C$8,E11,"")</f>
        <v>5000</v>
      </c>
      <c r="D12" s="26">
        <f>IF(1&lt;=$C$8,C12*$C$7,"")</f>
        <v>400</v>
      </c>
      <c r="E12" s="38">
        <f>IF(1&lt;=$C$8,C12+D12,"")</f>
        <v>5400</v>
      </c>
      <c r="F12" s="27">
        <f>IF(1&lt;=$C$8,E12/$C$6,"")</f>
        <v>1.08</v>
      </c>
    </row>
    <row r="13" spans="2:6" x14ac:dyDescent="0.35">
      <c r="B13" s="36">
        <f>IF(2&lt;=$C$8,2,"")</f>
        <v>2</v>
      </c>
      <c r="C13" s="26">
        <f>IF(2&lt;=$C$8,E12,"")</f>
        <v>5400</v>
      </c>
      <c r="D13" s="26">
        <f>IF(2&lt;=$C$8,C13*$C$7,"")</f>
        <v>432</v>
      </c>
      <c r="E13" s="38">
        <f>IF(2&lt;=$C$8,C13+D13,"")</f>
        <v>5832</v>
      </c>
      <c r="F13" s="27">
        <f>IF(2&lt;=$C$8,E13/$C$6,"")</f>
        <v>1.1664000000000001</v>
      </c>
    </row>
    <row r="14" spans="2:6" x14ac:dyDescent="0.35">
      <c r="B14" s="36">
        <f>IF(3&lt;=$C$8,3,"")</f>
        <v>3</v>
      </c>
      <c r="C14" s="26">
        <f>IF(3&lt;=$C$8,E13,"")</f>
        <v>5832</v>
      </c>
      <c r="D14" s="26">
        <f>IF(3&lt;=$C$8,C14*$C$7,"")</f>
        <v>466.56</v>
      </c>
      <c r="E14" s="38">
        <f>IF(3&lt;=$C$8,C14+D14,"")</f>
        <v>6298.56</v>
      </c>
      <c r="F14" s="27">
        <f>IF(3&lt;=$C$8,E14/$C$6,"")</f>
        <v>1.2597120000000002</v>
      </c>
    </row>
    <row r="15" spans="2:6" x14ac:dyDescent="0.35">
      <c r="B15" s="36">
        <f>IF(4&lt;=$C$8,4,"")</f>
        <v>4</v>
      </c>
      <c r="C15" s="26">
        <f>IF(4&lt;=$C$8,E14,"")</f>
        <v>6298.56</v>
      </c>
      <c r="D15" s="26">
        <f>IF(4&lt;=$C$8,C15*$C$7,"")</f>
        <v>503.88480000000004</v>
      </c>
      <c r="E15" s="38">
        <f>IF(4&lt;=$C$8,C15+D15,"")</f>
        <v>6802.4448000000002</v>
      </c>
      <c r="F15" s="27">
        <f>IF(4&lt;=$C$8,E15/$C$6,"")</f>
        <v>1.3604889600000001</v>
      </c>
    </row>
    <row r="16" spans="2:6" x14ac:dyDescent="0.35">
      <c r="B16" s="40">
        <f>IF(5&lt;=$C$8,5,"")</f>
        <v>5</v>
      </c>
      <c r="C16" s="41">
        <f>IF(5&lt;=$C$8,E15,"")</f>
        <v>6802.4448000000002</v>
      </c>
      <c r="D16" s="41">
        <f>IF(5&lt;=$C$8,C16*$C$7,"")</f>
        <v>544.19558400000005</v>
      </c>
      <c r="E16" s="42">
        <f>IF(5&lt;=$C$8,C16+D16,"")</f>
        <v>7346.6403840000003</v>
      </c>
      <c r="F16" s="43">
        <f>IF(5&lt;=$C$8,E16/$C$6,"")</f>
        <v>1.4693280768000001</v>
      </c>
    </row>
    <row r="17" spans="2:6" x14ac:dyDescent="0.35">
      <c r="B17" s="36">
        <f>IF(6&lt;=$C$8,6,"")</f>
        <v>6</v>
      </c>
      <c r="C17" s="26">
        <f>IF(6&lt;=$C$8,E16,"")</f>
        <v>7346.6403840000003</v>
      </c>
      <c r="D17" s="26">
        <f>IF(6&lt;=$C$8,C17*$C$7,"")</f>
        <v>587.73123071999999</v>
      </c>
      <c r="E17" s="38">
        <f>IF(6&lt;=$C$8,C17+D17,"")</f>
        <v>7934.3716147200003</v>
      </c>
      <c r="F17" s="27">
        <f>IF(6&lt;=$C$8,E17/$C$6,"")</f>
        <v>1.5868743229440001</v>
      </c>
    </row>
    <row r="18" spans="2:6" x14ac:dyDescent="0.35">
      <c r="B18" s="36">
        <f>IF(7&lt;=$C$8,7,"")</f>
        <v>7</v>
      </c>
      <c r="C18" s="26">
        <f>IF(7&lt;=$C$8,E17,"")</f>
        <v>7934.3716147200003</v>
      </c>
      <c r="D18" s="26">
        <f>IF(7&lt;=$C$8,C18*$C$7,"")</f>
        <v>634.74972917759999</v>
      </c>
      <c r="E18" s="38">
        <f>IF(7&lt;=$C$8,C18+D18,"")</f>
        <v>8569.121343897601</v>
      </c>
      <c r="F18" s="27">
        <f>IF(7&lt;=$C$8,E18/$C$6,"")</f>
        <v>1.7138242687795202</v>
      </c>
    </row>
    <row r="19" spans="2:6" x14ac:dyDescent="0.35">
      <c r="B19" s="36">
        <f>IF(8&lt;=$C$8,8,"")</f>
        <v>8</v>
      </c>
      <c r="C19" s="26">
        <f>IF(8&lt;=$C$8,E18,"")</f>
        <v>8569.121343897601</v>
      </c>
      <c r="D19" s="26">
        <f>IF(8&lt;=$C$8,C19*$C$7,"")</f>
        <v>685.52970751180806</v>
      </c>
      <c r="E19" s="38">
        <f>IF(8&lt;=$C$8,C19+D19,"")</f>
        <v>9254.6510514094098</v>
      </c>
      <c r="F19" s="27">
        <f>IF(8&lt;=$C$8,E19/$C$6,"")</f>
        <v>1.8509302102818819</v>
      </c>
    </row>
    <row r="20" spans="2:6" x14ac:dyDescent="0.35">
      <c r="B20" s="36">
        <f>IF(9&lt;=$C$8,9,"")</f>
        <v>9</v>
      </c>
      <c r="C20" s="26">
        <f>IF(9&lt;=$C$8,E19,"")</f>
        <v>9254.6510514094098</v>
      </c>
      <c r="D20" s="26">
        <f>IF(9&lt;=$C$8,C20*$C$7,"")</f>
        <v>740.37208411275276</v>
      </c>
      <c r="E20" s="38">
        <f>IF(9&lt;=$C$8,C20+D20,"")</f>
        <v>9995.0231355221622</v>
      </c>
      <c r="F20" s="27">
        <f>IF(9&lt;=$C$8,E20/$C$6,"")</f>
        <v>1.9990046271044324</v>
      </c>
    </row>
    <row r="21" spans="2:6" x14ac:dyDescent="0.35">
      <c r="B21" s="40">
        <f>IF(10&lt;=$C$8,10,"")</f>
        <v>10</v>
      </c>
      <c r="C21" s="41">
        <f>IF(10&lt;=$C$8,E20,"")</f>
        <v>9995.0231355221622</v>
      </c>
      <c r="D21" s="41">
        <f>IF(10&lt;=$C$8,C21*$C$7,"")</f>
        <v>799.60185084177294</v>
      </c>
      <c r="E21" s="42">
        <f>IF(10&lt;=$C$8,C21+D21,"")</f>
        <v>10794.624986363935</v>
      </c>
      <c r="F21" s="43">
        <f>IF(10&lt;=$C$8,E21/$C$6,"")</f>
        <v>2.1589249972727869</v>
      </c>
    </row>
    <row r="22" spans="2:6" x14ac:dyDescent="0.35">
      <c r="B22" s="36">
        <f>IF(11&lt;=$C$8,11,"")</f>
        <v>11</v>
      </c>
      <c r="C22" s="26">
        <f>IF(11&lt;=$C$8,E21,"")</f>
        <v>10794.624986363935</v>
      </c>
      <c r="D22" s="26">
        <f>IF(11&lt;=$C$8,C22*$C$7,"")</f>
        <v>863.56999890911482</v>
      </c>
      <c r="E22" s="38">
        <f>IF(11&lt;=$C$8,C22+D22,"")</f>
        <v>11658.19498527305</v>
      </c>
      <c r="F22" s="27">
        <f>IF(11&lt;=$C$8,E22/$C$6,"")</f>
        <v>2.3316389970546099</v>
      </c>
    </row>
    <row r="23" spans="2:6" x14ac:dyDescent="0.35">
      <c r="B23" s="36">
        <f>IF(12&lt;=$C$8,12,"")</f>
        <v>12</v>
      </c>
      <c r="C23" s="26">
        <f>IF(12&lt;=$C$8,E22,"")</f>
        <v>11658.19498527305</v>
      </c>
      <c r="D23" s="26">
        <f>IF(12&lt;=$C$8,C23*$C$7,"")</f>
        <v>932.65559882184402</v>
      </c>
      <c r="E23" s="38">
        <f>IF(12&lt;=$C$8,C23+D23,"")</f>
        <v>12590.850584094895</v>
      </c>
      <c r="F23" s="27">
        <f>IF(12&lt;=$C$8,E23/$C$6,"")</f>
        <v>2.518170116818979</v>
      </c>
    </row>
    <row r="24" spans="2:6" x14ac:dyDescent="0.35">
      <c r="B24" s="36">
        <f>IF(13&lt;=$C$8,13,"")</f>
        <v>13</v>
      </c>
      <c r="C24" s="26">
        <f>IF(13&lt;=$C$8,E23,"")</f>
        <v>12590.850584094895</v>
      </c>
      <c r="D24" s="26">
        <f>IF(13&lt;=$C$8,C24*$C$7,"")</f>
        <v>1007.2680467275916</v>
      </c>
      <c r="E24" s="38">
        <f>IF(13&lt;=$C$8,C24+D24,"")</f>
        <v>13598.118630822486</v>
      </c>
      <c r="F24" s="27">
        <f>IF(13&lt;=$C$8,E24/$C$6,"")</f>
        <v>2.7196237261644973</v>
      </c>
    </row>
    <row r="25" spans="2:6" x14ac:dyDescent="0.35">
      <c r="B25" s="36">
        <f>IF(14&lt;=$C$8,14,"")</f>
        <v>14</v>
      </c>
      <c r="C25" s="26">
        <f>IF(14&lt;=$C$8,E24,"")</f>
        <v>13598.118630822486</v>
      </c>
      <c r="D25" s="26">
        <f>IF(14&lt;=$C$8,C25*$C$7,"")</f>
        <v>1087.8494904657989</v>
      </c>
      <c r="E25" s="38">
        <f>IF(14&lt;=$C$8,C25+D25,"")</f>
        <v>14685.968121288284</v>
      </c>
      <c r="F25" s="27">
        <f>IF(14&lt;=$C$8,E25/$C$6,"")</f>
        <v>2.9371936242576568</v>
      </c>
    </row>
    <row r="26" spans="2:6" x14ac:dyDescent="0.35">
      <c r="B26" s="40">
        <f>IF(15&lt;=$C$8,15,"")</f>
        <v>15</v>
      </c>
      <c r="C26" s="41">
        <f>IF(15&lt;=$C$8,E25,"")</f>
        <v>14685.968121288284</v>
      </c>
      <c r="D26" s="41">
        <f>IF(15&lt;=$C$8,C26*$C$7,"")</f>
        <v>1174.8774497030627</v>
      </c>
      <c r="E26" s="42">
        <f>IF(15&lt;=$C$8,C26+D26,"")</f>
        <v>15860.845570991347</v>
      </c>
      <c r="F26" s="43">
        <f>IF(15&lt;=$C$8,E26/$C$6,"")</f>
        <v>3.1721691141982693</v>
      </c>
    </row>
    <row r="27" spans="2:6" x14ac:dyDescent="0.35">
      <c r="B27" s="36">
        <f>IF(16&lt;=$C$8,16,"")</f>
        <v>16</v>
      </c>
      <c r="C27" s="26">
        <f>IF(16&lt;=$C$8,E26,"")</f>
        <v>15860.845570991347</v>
      </c>
      <c r="D27" s="26">
        <f>IF(16&lt;=$C$8,C27*$C$7,"")</f>
        <v>1268.8676456793078</v>
      </c>
      <c r="E27" s="38">
        <f>IF(16&lt;=$C$8,C27+D27,"")</f>
        <v>17129.713216670654</v>
      </c>
      <c r="F27" s="27">
        <f>IF(16&lt;=$C$8,E27/$C$6,"")</f>
        <v>3.4259426433341309</v>
      </c>
    </row>
    <row r="28" spans="2:6" x14ac:dyDescent="0.35">
      <c r="B28" s="36">
        <f>IF(17&lt;=$C$8,17,"")</f>
        <v>17</v>
      </c>
      <c r="C28" s="26">
        <f>IF(17&lt;=$C$8,E27,"")</f>
        <v>17129.713216670654</v>
      </c>
      <c r="D28" s="26">
        <f>IF(17&lt;=$C$8,C28*$C$7,"")</f>
        <v>1370.3770573336524</v>
      </c>
      <c r="E28" s="38">
        <f>IF(17&lt;=$C$8,C28+D28,"")</f>
        <v>18500.090274004306</v>
      </c>
      <c r="F28" s="27">
        <f>IF(17&lt;=$C$8,E28/$C$6,"")</f>
        <v>3.7000180548008612</v>
      </c>
    </row>
    <row r="29" spans="2:6" x14ac:dyDescent="0.35">
      <c r="B29" s="36">
        <f>IF(18&lt;=$C$8,18,"")</f>
        <v>18</v>
      </c>
      <c r="C29" s="26">
        <f>IF(18&lt;=$C$8,E28,"")</f>
        <v>18500.090274004306</v>
      </c>
      <c r="D29" s="26">
        <f>IF(18&lt;=$C$8,C29*$C$7,"")</f>
        <v>1480.0072219203446</v>
      </c>
      <c r="E29" s="38">
        <f>IF(18&lt;=$C$8,C29+D29,"")</f>
        <v>19980.097495924649</v>
      </c>
      <c r="F29" s="27">
        <f>IF(18&lt;=$C$8,E29/$C$6,"")</f>
        <v>3.9960194991849298</v>
      </c>
    </row>
    <row r="30" spans="2:6" x14ac:dyDescent="0.35">
      <c r="B30" s="36">
        <f>IF(19&lt;=$C$8,19,"")</f>
        <v>19</v>
      </c>
      <c r="C30" s="26">
        <f>IF(19&lt;=$C$8,E29,"")</f>
        <v>19980.097495924649</v>
      </c>
      <c r="D30" s="26">
        <f>IF(19&lt;=$C$8,C30*$C$7,"")</f>
        <v>1598.407799673972</v>
      </c>
      <c r="E30" s="38">
        <f>IF(19&lt;=$C$8,C30+D30,"")</f>
        <v>21578.505295598621</v>
      </c>
      <c r="F30" s="27">
        <f>IF(19&lt;=$C$8,E30/$C$6,"")</f>
        <v>4.315701059119724</v>
      </c>
    </row>
    <row r="31" spans="2:6" x14ac:dyDescent="0.35">
      <c r="B31" s="40">
        <f>IF(20&lt;=$C$8,20,"")</f>
        <v>20</v>
      </c>
      <c r="C31" s="41">
        <f>IF(20&lt;=$C$8,E30,"")</f>
        <v>21578.505295598621</v>
      </c>
      <c r="D31" s="41">
        <f>IF(20&lt;=$C$8,C31*$C$7,"")</f>
        <v>1726.2804236478896</v>
      </c>
      <c r="E31" s="42">
        <f>IF(20&lt;=$C$8,C31+D31,"")</f>
        <v>23304.785719246509</v>
      </c>
      <c r="F31" s="43">
        <f>IF(20&lt;=$C$8,E31/$C$6,"")</f>
        <v>4.660957143849302</v>
      </c>
    </row>
    <row r="32" spans="2:6" x14ac:dyDescent="0.35">
      <c r="B32" s="36">
        <f>IF(21&lt;=$C$8,21,"")</f>
        <v>21</v>
      </c>
      <c r="C32" s="26">
        <f>IF(21&lt;=$C$8,E31,"")</f>
        <v>23304.785719246509</v>
      </c>
      <c r="D32" s="26">
        <f>IF(21&lt;=$C$8,C32*$C$7,"")</f>
        <v>1864.3828575397208</v>
      </c>
      <c r="E32" s="38">
        <f>IF(21&lt;=$C$8,C32+D32,"")</f>
        <v>25169.168576786229</v>
      </c>
      <c r="F32" s="27">
        <f>IF(21&lt;=$C$8,E32/$C$6,"")</f>
        <v>5.0338337153572459</v>
      </c>
    </row>
    <row r="33" spans="2:6" x14ac:dyDescent="0.35">
      <c r="B33" s="36">
        <f>IF(22&lt;=$C$8,22,"")</f>
        <v>22</v>
      </c>
      <c r="C33" s="26">
        <f>IF(22&lt;=$C$8,E32,"")</f>
        <v>25169.168576786229</v>
      </c>
      <c r="D33" s="26">
        <f>IF(22&lt;=$C$8,C33*$C$7,"")</f>
        <v>2013.5334861428985</v>
      </c>
      <c r="E33" s="38">
        <f>IF(22&lt;=$C$8,C33+D33,"")</f>
        <v>27182.702062929129</v>
      </c>
      <c r="F33" s="27">
        <f>IF(22&lt;=$C$8,E33/$C$6,"")</f>
        <v>5.4365404125858259</v>
      </c>
    </row>
    <row r="34" spans="2:6" x14ac:dyDescent="0.35">
      <c r="B34" s="36">
        <f>IF(23&lt;=$C$8,23,"")</f>
        <v>23</v>
      </c>
      <c r="C34" s="26">
        <f>IF(23&lt;=$C$8,E33,"")</f>
        <v>27182.702062929129</v>
      </c>
      <c r="D34" s="26">
        <f>IF(23&lt;=$C$8,C34*$C$7,"")</f>
        <v>2174.6161650343302</v>
      </c>
      <c r="E34" s="38">
        <f>IF(23&lt;=$C$8,C34+D34,"")</f>
        <v>29357.31822796346</v>
      </c>
      <c r="F34" s="27">
        <f>IF(23&lt;=$C$8,E34/$C$6,"")</f>
        <v>5.8714636455926916</v>
      </c>
    </row>
    <row r="35" spans="2:6" x14ac:dyDescent="0.35">
      <c r="B35" s="36">
        <f>IF(24&lt;=$C$8,24,"")</f>
        <v>24</v>
      </c>
      <c r="C35" s="26">
        <f>IF(24&lt;=$C$8,E34,"")</f>
        <v>29357.31822796346</v>
      </c>
      <c r="D35" s="26">
        <f>IF(24&lt;=$C$8,C35*$C$7,"")</f>
        <v>2348.5854582370771</v>
      </c>
      <c r="E35" s="38">
        <f>IF(24&lt;=$C$8,C35+D35,"")</f>
        <v>31705.903686200538</v>
      </c>
      <c r="F35" s="27">
        <f>IF(24&lt;=$C$8,E35/$C$6,"")</f>
        <v>6.3411807372401077</v>
      </c>
    </row>
    <row r="36" spans="2:6" x14ac:dyDescent="0.35">
      <c r="B36" s="40">
        <f>IF(25&lt;=$C$8,25,"")</f>
        <v>25</v>
      </c>
      <c r="C36" s="41">
        <f>IF(25&lt;=$C$8,E35,"")</f>
        <v>31705.903686200538</v>
      </c>
      <c r="D36" s="41">
        <f>IF(25&lt;=$C$8,C36*$C$7,"")</f>
        <v>2536.472294896043</v>
      </c>
      <c r="E36" s="42">
        <f>IF(25&lt;=$C$8,C36+D36,"")</f>
        <v>34242.375981096578</v>
      </c>
      <c r="F36" s="43">
        <f>IF(25&lt;=$C$8,E36/$C$6,"")</f>
        <v>6.848475196219316</v>
      </c>
    </row>
    <row r="37" spans="2:6" x14ac:dyDescent="0.35">
      <c r="B37" s="36">
        <f>IF(26&lt;=$C$8,26,"")</f>
        <v>26</v>
      </c>
      <c r="C37" s="26">
        <f>IF(26&lt;=$C$8,E36,"")</f>
        <v>34242.375981096578</v>
      </c>
      <c r="D37" s="26">
        <f>IF(26&lt;=$C$8,C37*$C$7,"")</f>
        <v>2739.3900784877264</v>
      </c>
      <c r="E37" s="38">
        <f>IF(26&lt;=$C$8,C37+D37,"")</f>
        <v>36981.766059584304</v>
      </c>
      <c r="F37" s="27">
        <f>IF(26&lt;=$C$8,E37/$C$6,"")</f>
        <v>7.3963532119168605</v>
      </c>
    </row>
    <row r="38" spans="2:6" x14ac:dyDescent="0.35">
      <c r="B38" s="36">
        <f>IF(27&lt;=$C$8,27,"")</f>
        <v>27</v>
      </c>
      <c r="C38" s="26">
        <f>IF(27&lt;=$C$8,E37,"")</f>
        <v>36981.766059584304</v>
      </c>
      <c r="D38" s="26">
        <f>IF(27&lt;=$C$8,C38*$C$7,"")</f>
        <v>2958.5412847667444</v>
      </c>
      <c r="E38" s="38">
        <f>IF(27&lt;=$C$8,C38+D38,"")</f>
        <v>39940.307344351051</v>
      </c>
      <c r="F38" s="27">
        <f>IF(27&lt;=$C$8,E38/$C$6,"")</f>
        <v>7.9880614688702103</v>
      </c>
    </row>
    <row r="39" spans="2:6" x14ac:dyDescent="0.35">
      <c r="B39" s="36">
        <f>IF(28&lt;=$C$8,28,"")</f>
        <v>28</v>
      </c>
      <c r="C39" s="26">
        <f>IF(28&lt;=$C$8,E38,"")</f>
        <v>39940.307344351051</v>
      </c>
      <c r="D39" s="26">
        <f>IF(28&lt;=$C$8,C39*$C$7,"")</f>
        <v>3195.2245875480839</v>
      </c>
      <c r="E39" s="38">
        <f>IF(28&lt;=$C$8,C39+D39,"")</f>
        <v>43135.531931899139</v>
      </c>
      <c r="F39" s="27">
        <f>IF(28&lt;=$C$8,E39/$C$6,"")</f>
        <v>8.6271063863798272</v>
      </c>
    </row>
    <row r="40" spans="2:6" x14ac:dyDescent="0.35">
      <c r="B40" s="36">
        <f>IF(29&lt;=$C$8,29,"")</f>
        <v>29</v>
      </c>
      <c r="C40" s="26">
        <f>IF(29&lt;=$C$8,E39,"")</f>
        <v>43135.531931899139</v>
      </c>
      <c r="D40" s="26">
        <f>IF(29&lt;=$C$8,C40*$C$7,"")</f>
        <v>3450.8425545519312</v>
      </c>
      <c r="E40" s="38">
        <f>IF(29&lt;=$C$8,C40+D40,"")</f>
        <v>46586.374486451066</v>
      </c>
      <c r="F40" s="27">
        <f>IF(29&lt;=$C$8,E40/$C$6,"")</f>
        <v>9.3172748972902131</v>
      </c>
    </row>
    <row r="41" spans="2:6" x14ac:dyDescent="0.35">
      <c r="B41" s="40">
        <f>IF(30&lt;=$C$8,30,"")</f>
        <v>30</v>
      </c>
      <c r="C41" s="41">
        <f>IF(30&lt;=$C$8,E40,"")</f>
        <v>46586.374486451066</v>
      </c>
      <c r="D41" s="41">
        <f>IF(30&lt;=$C$8,C41*$C$7,"")</f>
        <v>3726.9099589160855</v>
      </c>
      <c r="E41" s="42">
        <f>IF(30&lt;=$C$8,C41+D41,"")</f>
        <v>50313.28444536715</v>
      </c>
      <c r="F41" s="43">
        <f>IF(30&lt;=$C$8,E41/$C$6,"")</f>
        <v>10.06265688907343</v>
      </c>
    </row>
    <row r="42" spans="2:6" x14ac:dyDescent="0.35">
      <c r="B42" s="36" t="str">
        <f>IF(31&lt;=$C$8,31,"")</f>
        <v/>
      </c>
      <c r="C42" s="26" t="str">
        <f>IF(31&lt;=$C$8,E41,"")</f>
        <v/>
      </c>
      <c r="D42" s="26" t="str">
        <f>IF(31&lt;=$C$8,C42*$C$7,"")</f>
        <v/>
      </c>
      <c r="E42" s="38" t="str">
        <f>IF(31&lt;=$C$8,C42+D42,"")</f>
        <v/>
      </c>
      <c r="F42" s="27" t="str">
        <f>IF(31&lt;=$C$8,E42/$C$6,"")</f>
        <v/>
      </c>
    </row>
    <row r="43" spans="2:6" x14ac:dyDescent="0.35">
      <c r="B43" s="36" t="str">
        <f>IF(32&lt;=$C$8,32,"")</f>
        <v/>
      </c>
      <c r="C43" s="26" t="str">
        <f>IF(32&lt;=$C$8,E42,"")</f>
        <v/>
      </c>
      <c r="D43" s="26" t="str">
        <f>IF(32&lt;=$C$8,C43*$C$7,"")</f>
        <v/>
      </c>
      <c r="E43" s="38" t="str">
        <f>IF(32&lt;=$C$8,C43+D43,"")</f>
        <v/>
      </c>
      <c r="F43" s="27" t="str">
        <f>IF(32&lt;=$C$8,E43/$C$6,"")</f>
        <v/>
      </c>
    </row>
    <row r="44" spans="2:6" x14ac:dyDescent="0.35">
      <c r="B44" s="36" t="str">
        <f>IF(33&lt;=$C$8,33,"")</f>
        <v/>
      </c>
      <c r="C44" s="26" t="str">
        <f>IF(33&lt;=$C$8,E43,"")</f>
        <v/>
      </c>
      <c r="D44" s="26" t="str">
        <f>IF(33&lt;=$C$8,C44*$C$7,"")</f>
        <v/>
      </c>
      <c r="E44" s="38" t="str">
        <f>IF(33&lt;=$C$8,C44+D44,"")</f>
        <v/>
      </c>
      <c r="F44" s="27" t="str">
        <f>IF(33&lt;=$C$8,E44/$C$6,"")</f>
        <v/>
      </c>
    </row>
    <row r="45" spans="2:6" x14ac:dyDescent="0.35">
      <c r="B45" s="36" t="str">
        <f>IF(34&lt;=$C$8,34,"")</f>
        <v/>
      </c>
      <c r="C45" s="26" t="str">
        <f>IF(34&lt;=$C$8,E44,"")</f>
        <v/>
      </c>
      <c r="D45" s="26" t="str">
        <f>IF(34&lt;=$C$8,C45*$C$7,"")</f>
        <v/>
      </c>
      <c r="E45" s="38" t="str">
        <f>IF(34&lt;=$C$8,C45+D45,"")</f>
        <v/>
      </c>
      <c r="F45" s="27" t="str">
        <f>IF(34&lt;=$C$8,E45/$C$6,"")</f>
        <v/>
      </c>
    </row>
    <row r="46" spans="2:6" x14ac:dyDescent="0.35">
      <c r="B46" s="40" t="str">
        <f>IF(35&lt;=$C$8,35,"")</f>
        <v/>
      </c>
      <c r="C46" s="41" t="str">
        <f>IF(35&lt;=$C$8,E45,"")</f>
        <v/>
      </c>
      <c r="D46" s="41" t="str">
        <f>IF(35&lt;=$C$8,C46*$C$7,"")</f>
        <v/>
      </c>
      <c r="E46" s="42" t="str">
        <f>IF(35&lt;=$C$8,C46+D46,"")</f>
        <v/>
      </c>
      <c r="F46" s="43" t="str">
        <f>IF(35&lt;=$C$8,E46/$C$6,"")</f>
        <v/>
      </c>
    </row>
    <row r="47" spans="2:6" x14ac:dyDescent="0.35">
      <c r="B47" s="36" t="str">
        <f>IF(36&lt;=$C$8,36,"")</f>
        <v/>
      </c>
      <c r="C47" s="26" t="str">
        <f>IF(36&lt;=$C$8,E46,"")</f>
        <v/>
      </c>
      <c r="D47" s="26" t="str">
        <f>IF(36&lt;=$C$8,C47*$C$7,"")</f>
        <v/>
      </c>
      <c r="E47" s="38" t="str">
        <f>IF(36&lt;=$C$8,C47+D47,"")</f>
        <v/>
      </c>
      <c r="F47" s="27" t="str">
        <f>IF(36&lt;=$C$8,E47/$C$6,"")</f>
        <v/>
      </c>
    </row>
    <row r="48" spans="2:6" x14ac:dyDescent="0.35">
      <c r="B48" s="36" t="str">
        <f>IF(37&lt;=$C$8,37,"")</f>
        <v/>
      </c>
      <c r="C48" s="26" t="str">
        <f>IF(37&lt;=$C$8,E47,"")</f>
        <v/>
      </c>
      <c r="D48" s="26" t="str">
        <f>IF(37&lt;=$C$8,C48*$C$7,"")</f>
        <v/>
      </c>
      <c r="E48" s="38" t="str">
        <f>IF(37&lt;=$C$8,C48+D48,"")</f>
        <v/>
      </c>
      <c r="F48" s="27" t="str">
        <f>IF(37&lt;=$C$8,E48/$C$6,"")</f>
        <v/>
      </c>
    </row>
    <row r="49" spans="2:6" x14ac:dyDescent="0.35">
      <c r="B49" s="36" t="str">
        <f>IF(38&lt;=$C$8,38,"")</f>
        <v/>
      </c>
      <c r="C49" s="26" t="str">
        <f>IF(38&lt;=$C$8,E48,"")</f>
        <v/>
      </c>
      <c r="D49" s="26" t="str">
        <f>IF(38&lt;=$C$8,C49*$C$7,"")</f>
        <v/>
      </c>
      <c r="E49" s="38" t="str">
        <f>IF(38&lt;=$C$8,C49+D49,"")</f>
        <v/>
      </c>
      <c r="F49" s="27" t="str">
        <f>IF(38&lt;=$C$8,E49/$C$6,"")</f>
        <v/>
      </c>
    </row>
    <row r="50" spans="2:6" x14ac:dyDescent="0.35">
      <c r="B50" s="36" t="str">
        <f>IF(39&lt;=$C$8,39,"")</f>
        <v/>
      </c>
      <c r="C50" s="26" t="str">
        <f>IF(39&lt;=$C$8,E49,"")</f>
        <v/>
      </c>
      <c r="D50" s="26" t="str">
        <f>IF(39&lt;=$C$8,C50*$C$7,"")</f>
        <v/>
      </c>
      <c r="E50" s="38" t="str">
        <f>IF(39&lt;=$C$8,C50+D50,"")</f>
        <v/>
      </c>
      <c r="F50" s="27" t="str">
        <f>IF(39&lt;=$C$8,E50/$C$6,"")</f>
        <v/>
      </c>
    </row>
    <row r="51" spans="2:6" x14ac:dyDescent="0.35">
      <c r="B51" s="40" t="str">
        <f>IF(40&lt;=$C$8,40,"")</f>
        <v/>
      </c>
      <c r="C51" s="41" t="str">
        <f>IF(40&lt;=$C$8,E50,"")</f>
        <v/>
      </c>
      <c r="D51" s="41" t="str">
        <f>IF(40&lt;=$C$8,C51*$C$7,"")</f>
        <v/>
      </c>
      <c r="E51" s="42" t="str">
        <f>IF(40&lt;=$C$8,C51+D51,"")</f>
        <v/>
      </c>
      <c r="F51" s="43" t="str">
        <f>IF(40&lt;=$C$8,E51/$C$6,"")</f>
        <v/>
      </c>
    </row>
    <row r="52" spans="2:6" x14ac:dyDescent="0.35">
      <c r="B52" s="36" t="str">
        <f>IF(41&lt;=$C$8,41,"")</f>
        <v/>
      </c>
      <c r="C52" s="26" t="str">
        <f>IF(41&lt;=$C$8,E51,"")</f>
        <v/>
      </c>
      <c r="D52" s="26" t="str">
        <f>IF(41&lt;=$C$8,C52*$C$7,"")</f>
        <v/>
      </c>
      <c r="E52" s="38" t="str">
        <f>IF(41&lt;=$C$8,C52+D52,"")</f>
        <v/>
      </c>
      <c r="F52" s="27" t="str">
        <f>IF(41&lt;=$C$8,E52/$C$6,"")</f>
        <v/>
      </c>
    </row>
    <row r="53" spans="2:6" x14ac:dyDescent="0.35">
      <c r="B53" s="36" t="str">
        <f>IF(42&lt;=$C$8,42,"")</f>
        <v/>
      </c>
      <c r="C53" s="26" t="str">
        <f>IF(42&lt;=$C$8,E52,"")</f>
        <v/>
      </c>
      <c r="D53" s="26" t="str">
        <f>IF(42&lt;=$C$8,C53*$C$7,"")</f>
        <v/>
      </c>
      <c r="E53" s="38" t="str">
        <f>IF(42&lt;=$C$8,C53+D53,"")</f>
        <v/>
      </c>
      <c r="F53" s="27" t="str">
        <f>IF(42&lt;=$C$8,E53/$C$6,"")</f>
        <v/>
      </c>
    </row>
    <row r="54" spans="2:6" x14ac:dyDescent="0.35">
      <c r="B54" s="36" t="str">
        <f>IF(43&lt;=$C$8,43,"")</f>
        <v/>
      </c>
      <c r="C54" s="26" t="str">
        <f>IF(43&lt;=$C$8,E53,"")</f>
        <v/>
      </c>
      <c r="D54" s="26" t="str">
        <f>IF(43&lt;=$C$8,C54*$C$7,"")</f>
        <v/>
      </c>
      <c r="E54" s="38" t="str">
        <f>IF(43&lt;=$C$8,C54+D54,"")</f>
        <v/>
      </c>
      <c r="F54" s="27" t="str">
        <f>IF(43&lt;=$C$8,E54/$C$6,"")</f>
        <v/>
      </c>
    </row>
    <row r="55" spans="2:6" x14ac:dyDescent="0.35">
      <c r="B55" s="36" t="str">
        <f>IF(44&lt;=$C$8,44,"")</f>
        <v/>
      </c>
      <c r="C55" s="26" t="str">
        <f>IF(44&lt;=$C$8,E54,"")</f>
        <v/>
      </c>
      <c r="D55" s="26" t="str">
        <f>IF(44&lt;=$C$8,C55*$C$7,"")</f>
        <v/>
      </c>
      <c r="E55" s="38" t="str">
        <f>IF(44&lt;=$C$8,C55+D55,"")</f>
        <v/>
      </c>
      <c r="F55" s="27" t="str">
        <f>IF(44&lt;=$C$8,E55/$C$6,"")</f>
        <v/>
      </c>
    </row>
    <row r="56" spans="2:6" x14ac:dyDescent="0.35">
      <c r="B56" s="40" t="str">
        <f>IF(45&lt;=$C$8,45,"")</f>
        <v/>
      </c>
      <c r="C56" s="41" t="str">
        <f>IF(45&lt;=$C$8,E55,"")</f>
        <v/>
      </c>
      <c r="D56" s="41" t="str">
        <f>IF(45&lt;=$C$8,C56*$C$7,"")</f>
        <v/>
      </c>
      <c r="E56" s="42" t="str">
        <f>IF(45&lt;=$C$8,C56+D56,"")</f>
        <v/>
      </c>
      <c r="F56" s="43" t="str">
        <f>IF(45&lt;=$C$8,E56/$C$6,"")</f>
        <v/>
      </c>
    </row>
    <row r="57" spans="2:6" x14ac:dyDescent="0.35">
      <c r="B57" s="36" t="str">
        <f>IF(46&lt;=$C$8,46,"")</f>
        <v/>
      </c>
      <c r="C57" s="26" t="str">
        <f>IF(46&lt;=$C$8,E56,"")</f>
        <v/>
      </c>
      <c r="D57" s="26" t="str">
        <f>IF(46&lt;=$C$8,C57*$C$7,"")</f>
        <v/>
      </c>
      <c r="E57" s="38" t="str">
        <f>IF(46&lt;=$C$8,C57+D57,"")</f>
        <v/>
      </c>
      <c r="F57" s="27" t="str">
        <f>IF(46&lt;=$C$8,E57/$C$6,"")</f>
        <v/>
      </c>
    </row>
    <row r="58" spans="2:6" x14ac:dyDescent="0.35">
      <c r="B58" s="36" t="str">
        <f>IF(47&lt;=$C$8,47,"")</f>
        <v/>
      </c>
      <c r="C58" s="26" t="str">
        <f>IF(47&lt;=$C$8,E57,"")</f>
        <v/>
      </c>
      <c r="D58" s="26" t="str">
        <f>IF(47&lt;=$C$8,C58*$C$7,"")</f>
        <v/>
      </c>
      <c r="E58" s="38" t="str">
        <f>IF(47&lt;=$C$8,C58+D58,"")</f>
        <v/>
      </c>
      <c r="F58" s="27" t="str">
        <f>IF(47&lt;=$C$8,E58/$C$6,"")</f>
        <v/>
      </c>
    </row>
    <row r="59" spans="2:6" x14ac:dyDescent="0.35">
      <c r="B59" s="36" t="str">
        <f>IF(48&lt;=$C$8,48,"")</f>
        <v/>
      </c>
      <c r="C59" s="26" t="str">
        <f>IF(48&lt;=$C$8,E58,"")</f>
        <v/>
      </c>
      <c r="D59" s="26" t="str">
        <f>IF(48&lt;=$C$8,C59*$C$7,"")</f>
        <v/>
      </c>
      <c r="E59" s="38" t="str">
        <f>IF(48&lt;=$C$8,C59+D59,"")</f>
        <v/>
      </c>
      <c r="F59" s="27" t="str">
        <f>IF(48&lt;=$C$8,E59/$C$6,"")</f>
        <v/>
      </c>
    </row>
    <row r="60" spans="2:6" x14ac:dyDescent="0.35">
      <c r="B60" s="36" t="str">
        <f>IF(49&lt;=$C$8,49,"")</f>
        <v/>
      </c>
      <c r="C60" s="26" t="str">
        <f>IF(49&lt;=$C$8,E59,"")</f>
        <v/>
      </c>
      <c r="D60" s="26" t="str">
        <f>IF(49&lt;=$C$8,C60*$C$7,"")</f>
        <v/>
      </c>
      <c r="E60" s="38" t="str">
        <f>IF(49&lt;=$C$8,C60+D60,"")</f>
        <v/>
      </c>
      <c r="F60" s="27" t="str">
        <f>IF(49&lt;=$C$8,E60/$C$6,"")</f>
        <v/>
      </c>
    </row>
    <row r="61" spans="2:6" x14ac:dyDescent="0.35">
      <c r="B61" s="40" t="str">
        <f>IF(50&lt;=$C$8,50,"")</f>
        <v/>
      </c>
      <c r="C61" s="41" t="str">
        <f>IF(50&lt;=$C$8,E60,"")</f>
        <v/>
      </c>
      <c r="D61" s="41" t="str">
        <f>IF(50&lt;=$C$8,C61*$C$7,"")</f>
        <v/>
      </c>
      <c r="E61" s="42" t="str">
        <f>IF(50&lt;=$C$8,C61+D61,"")</f>
        <v/>
      </c>
      <c r="F61" s="43" t="str">
        <f>IF(50&lt;=$C$8,E61/$C$6,"")</f>
        <v/>
      </c>
    </row>
  </sheetData>
  <mergeCells count="2">
    <mergeCell ref="B2:F2"/>
    <mergeCell ref="B4:F4"/>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52"/>
  <sheetViews>
    <sheetView showGridLines="0" zoomScaleNormal="100" workbookViewId="0"/>
  </sheetViews>
  <sheetFormatPr defaultColWidth="8.6328125" defaultRowHeight="14.5" x14ac:dyDescent="0.35"/>
  <cols>
    <col min="1" max="1" width="3" customWidth="1"/>
    <col min="2" max="3" width="22" customWidth="1"/>
    <col min="4" max="5" width="18" customWidth="1"/>
    <col min="6" max="6" width="16" customWidth="1"/>
    <col min="7" max="7" width="38" customWidth="1"/>
    <col min="8" max="8" width="18" customWidth="1"/>
  </cols>
  <sheetData>
    <row r="1" spans="2:8" ht="6" customHeight="1" x14ac:dyDescent="0.35"/>
    <row r="2" spans="2:8" ht="31.5" customHeight="1" x14ac:dyDescent="0.35">
      <c r="B2" s="14" t="s">
        <v>88</v>
      </c>
      <c r="C2" s="14"/>
      <c r="D2" s="14"/>
      <c r="E2" s="14"/>
      <c r="F2" s="14"/>
      <c r="G2" s="14"/>
      <c r="H2" s="14"/>
    </row>
    <row r="3" spans="2:8" ht="6" customHeight="1" x14ac:dyDescent="0.35"/>
    <row r="4" spans="2:8" ht="31.5" customHeight="1" x14ac:dyDescent="0.35">
      <c r="B4" s="7" t="s">
        <v>89</v>
      </c>
      <c r="C4" s="7"/>
      <c r="D4" s="7"/>
      <c r="E4" s="7"/>
      <c r="F4" s="7"/>
      <c r="G4" s="7"/>
      <c r="H4" s="7"/>
    </row>
    <row r="5" spans="2:8" ht="13.5" customHeight="1" x14ac:dyDescent="0.35"/>
    <row r="6" spans="2:8" ht="25.5" customHeight="1" x14ac:dyDescent="0.35">
      <c r="B6" s="6" t="s">
        <v>90</v>
      </c>
      <c r="C6" s="6"/>
      <c r="D6" s="6"/>
      <c r="E6" s="6"/>
      <c r="F6" s="6"/>
      <c r="G6" s="6"/>
      <c r="H6" s="6"/>
    </row>
    <row r="7" spans="2:8" ht="31.5" customHeight="1" x14ac:dyDescent="0.35">
      <c r="B7" s="5" t="s">
        <v>91</v>
      </c>
      <c r="C7" s="5"/>
      <c r="D7" s="5"/>
      <c r="E7" s="5"/>
      <c r="F7" s="5"/>
      <c r="G7" s="5"/>
      <c r="H7" s="5"/>
    </row>
    <row r="8" spans="2:8" ht="21.75" customHeight="1" x14ac:dyDescent="0.35">
      <c r="B8" s="4" t="s">
        <v>92</v>
      </c>
      <c r="C8" s="4"/>
      <c r="D8" s="4"/>
      <c r="E8" s="4"/>
      <c r="F8" s="4"/>
      <c r="G8" s="4"/>
      <c r="H8" s="4"/>
    </row>
    <row r="9" spans="2:8" ht="19.5" customHeight="1" x14ac:dyDescent="0.35">
      <c r="B9" s="44" t="s">
        <v>93</v>
      </c>
      <c r="C9" s="44"/>
      <c r="D9" s="44"/>
      <c r="E9" s="44" t="s">
        <v>94</v>
      </c>
      <c r="F9" s="44" t="s">
        <v>95</v>
      </c>
      <c r="G9" s="44" t="s">
        <v>96</v>
      </c>
      <c r="H9" s="44" t="s">
        <v>97</v>
      </c>
    </row>
    <row r="10" spans="2:8" ht="15.75" customHeight="1" x14ac:dyDescent="0.35">
      <c r="B10" s="32" t="s">
        <v>98</v>
      </c>
      <c r="C10" s="32" t="s">
        <v>81</v>
      </c>
      <c r="D10" s="32" t="s">
        <v>82</v>
      </c>
      <c r="E10" s="32" t="s">
        <v>99</v>
      </c>
      <c r="F10" s="32" t="s">
        <v>100</v>
      </c>
      <c r="G10" s="32" t="s">
        <v>101</v>
      </c>
      <c r="H10" s="32" t="s">
        <v>102</v>
      </c>
    </row>
    <row r="11" spans="2:8" ht="36" customHeight="1" x14ac:dyDescent="0.35">
      <c r="B11" s="45">
        <v>1000000</v>
      </c>
      <c r="C11" s="46">
        <v>1.4999999999999999E-2</v>
      </c>
      <c r="D11" s="45">
        <v>5</v>
      </c>
      <c r="E11" s="21"/>
      <c r="F11" s="47" t="str">
        <f>IF(E11="","—",IF(ABS(E11-H11)/H11&lt;0.02,"✓ Correct","✗ Try again"))</f>
        <v>—</v>
      </c>
      <c r="G11" s="48" t="s">
        <v>103</v>
      </c>
      <c r="H11" s="23">
        <f>B11/(1+C11)^D11</f>
        <v>928260.32540563995</v>
      </c>
    </row>
    <row r="12" spans="2:8" ht="36" customHeight="1" x14ac:dyDescent="0.35">
      <c r="B12" s="3" t="s">
        <v>104</v>
      </c>
      <c r="C12" s="3"/>
      <c r="D12" s="3"/>
      <c r="E12" s="3"/>
      <c r="F12" s="3"/>
      <c r="G12" s="3"/>
      <c r="H12" s="3"/>
    </row>
    <row r="14" spans="2:8" ht="25.5" customHeight="1" x14ac:dyDescent="0.35">
      <c r="B14" s="6" t="s">
        <v>105</v>
      </c>
      <c r="C14" s="6"/>
      <c r="D14" s="6"/>
      <c r="E14" s="6"/>
      <c r="F14" s="6"/>
      <c r="G14" s="6"/>
      <c r="H14" s="6"/>
    </row>
    <row r="15" spans="2:8" ht="31.5" customHeight="1" x14ac:dyDescent="0.35">
      <c r="B15" s="5" t="s">
        <v>106</v>
      </c>
      <c r="C15" s="5"/>
      <c r="D15" s="5"/>
      <c r="E15" s="5"/>
      <c r="F15" s="5"/>
      <c r="G15" s="5"/>
      <c r="H15" s="5"/>
    </row>
    <row r="16" spans="2:8" ht="21.75" customHeight="1" x14ac:dyDescent="0.35">
      <c r="B16" s="4" t="s">
        <v>107</v>
      </c>
      <c r="C16" s="4"/>
      <c r="D16" s="4"/>
      <c r="E16" s="4"/>
      <c r="F16" s="4"/>
      <c r="G16" s="4"/>
      <c r="H16" s="4"/>
    </row>
    <row r="17" spans="2:8" ht="19.5" customHeight="1" x14ac:dyDescent="0.35">
      <c r="B17" s="44" t="s">
        <v>93</v>
      </c>
      <c r="C17" s="44"/>
      <c r="D17" s="44"/>
      <c r="E17" s="44" t="s">
        <v>94</v>
      </c>
      <c r="F17" s="44" t="s">
        <v>95</v>
      </c>
      <c r="G17" s="44" t="s">
        <v>96</v>
      </c>
      <c r="H17" s="44" t="s">
        <v>97</v>
      </c>
    </row>
    <row r="18" spans="2:8" ht="15.75" customHeight="1" x14ac:dyDescent="0.35">
      <c r="B18" s="32" t="s">
        <v>108</v>
      </c>
      <c r="C18" s="32" t="s">
        <v>81</v>
      </c>
      <c r="D18" s="32" t="s">
        <v>82</v>
      </c>
      <c r="E18" s="32" t="s">
        <v>99</v>
      </c>
      <c r="F18" s="32" t="s">
        <v>100</v>
      </c>
      <c r="G18" s="32" t="s">
        <v>101</v>
      </c>
      <c r="H18" s="32" t="s">
        <v>102</v>
      </c>
    </row>
    <row r="19" spans="2:8" ht="36" customHeight="1" x14ac:dyDescent="0.35">
      <c r="B19" s="45">
        <v>10000</v>
      </c>
      <c r="C19" s="46">
        <v>0.11</v>
      </c>
      <c r="D19" s="45">
        <v>3</v>
      </c>
      <c r="E19" s="21"/>
      <c r="F19" s="47" t="str">
        <f>IF(E19="","—",IF(ABS(E19-H19)/H19&lt;0.02,"✓ Correct","✗ Try again"))</f>
        <v>—</v>
      </c>
      <c r="G19" s="48" t="s">
        <v>103</v>
      </c>
      <c r="H19" s="23">
        <f>B19/(1+C19)^D19</f>
        <v>7311.9138130095016</v>
      </c>
    </row>
    <row r="20" spans="2:8" ht="36" customHeight="1" x14ac:dyDescent="0.35">
      <c r="B20" s="3" t="s">
        <v>109</v>
      </c>
      <c r="C20" s="3"/>
      <c r="D20" s="3"/>
      <c r="E20" s="3"/>
      <c r="F20" s="3"/>
      <c r="G20" s="3"/>
      <c r="H20" s="3"/>
    </row>
    <row r="22" spans="2:8" ht="25.5" customHeight="1" x14ac:dyDescent="0.35">
      <c r="B22" s="6" t="s">
        <v>110</v>
      </c>
      <c r="C22" s="6"/>
      <c r="D22" s="6"/>
      <c r="E22" s="6"/>
      <c r="F22" s="6"/>
      <c r="G22" s="6"/>
      <c r="H22" s="6"/>
    </row>
    <row r="23" spans="2:8" ht="31.5" customHeight="1" x14ac:dyDescent="0.35">
      <c r="B23" s="5" t="s">
        <v>111</v>
      </c>
      <c r="C23" s="5"/>
      <c r="D23" s="5"/>
      <c r="E23" s="5"/>
      <c r="F23" s="5"/>
      <c r="G23" s="5"/>
      <c r="H23" s="5"/>
    </row>
    <row r="24" spans="2:8" ht="21.75" customHeight="1" x14ac:dyDescent="0.35">
      <c r="B24" s="4" t="s">
        <v>112</v>
      </c>
      <c r="C24" s="4"/>
      <c r="D24" s="4"/>
      <c r="E24" s="4"/>
      <c r="F24" s="4"/>
      <c r="G24" s="4"/>
      <c r="H24" s="4"/>
    </row>
    <row r="25" spans="2:8" ht="19.5" customHeight="1" x14ac:dyDescent="0.35">
      <c r="B25" s="44" t="s">
        <v>93</v>
      </c>
      <c r="C25" s="44"/>
      <c r="D25" s="44"/>
      <c r="E25" s="44" t="s">
        <v>94</v>
      </c>
      <c r="F25" s="44" t="s">
        <v>95</v>
      </c>
      <c r="G25" s="44" t="s">
        <v>96</v>
      </c>
      <c r="H25" s="44" t="s">
        <v>97</v>
      </c>
    </row>
    <row r="26" spans="2:8" ht="15.75" customHeight="1" x14ac:dyDescent="0.35">
      <c r="B26" s="32" t="s">
        <v>113</v>
      </c>
      <c r="C26" s="32" t="s">
        <v>81</v>
      </c>
      <c r="D26" s="32" t="s">
        <v>82</v>
      </c>
      <c r="E26" s="32" t="s">
        <v>99</v>
      </c>
      <c r="F26" s="32" t="s">
        <v>100</v>
      </c>
      <c r="G26" s="32" t="s">
        <v>101</v>
      </c>
      <c r="H26" s="32" t="s">
        <v>102</v>
      </c>
    </row>
    <row r="27" spans="2:8" ht="36" customHeight="1" x14ac:dyDescent="0.35">
      <c r="B27" s="45">
        <v>50000</v>
      </c>
      <c r="C27" s="46">
        <v>0.12</v>
      </c>
      <c r="D27" s="45">
        <v>35</v>
      </c>
      <c r="E27" s="21"/>
      <c r="F27" s="47" t="str">
        <f>IF(E27="","—",IF(ABS(E27-H27)/H27&lt;0.02,"✓ Correct","✗ Try again"))</f>
        <v>—</v>
      </c>
      <c r="G27" s="48" t="s">
        <v>114</v>
      </c>
      <c r="H27" s="23">
        <f>B27*(1+C27)^D27</f>
        <v>2639980.9789553732</v>
      </c>
    </row>
    <row r="28" spans="2:8" ht="36" customHeight="1" x14ac:dyDescent="0.35">
      <c r="B28" s="3" t="s">
        <v>115</v>
      </c>
      <c r="C28" s="3"/>
      <c r="D28" s="3"/>
      <c r="E28" s="3"/>
      <c r="F28" s="3"/>
      <c r="G28" s="3"/>
      <c r="H28" s="3"/>
    </row>
    <row r="30" spans="2:8" ht="25.5" customHeight="1" x14ac:dyDescent="0.35">
      <c r="B30" s="6" t="s">
        <v>116</v>
      </c>
      <c r="C30" s="6"/>
      <c r="D30" s="6"/>
      <c r="E30" s="6"/>
      <c r="F30" s="6"/>
      <c r="G30" s="6"/>
      <c r="H30" s="6"/>
    </row>
    <row r="31" spans="2:8" ht="31.5" customHeight="1" x14ac:dyDescent="0.35">
      <c r="B31" s="5" t="s">
        <v>117</v>
      </c>
      <c r="C31" s="5"/>
      <c r="D31" s="5"/>
      <c r="E31" s="5"/>
      <c r="F31" s="5"/>
      <c r="G31" s="5"/>
      <c r="H31" s="5"/>
    </row>
    <row r="32" spans="2:8" ht="21.75" customHeight="1" x14ac:dyDescent="0.35">
      <c r="B32" s="4" t="s">
        <v>118</v>
      </c>
      <c r="C32" s="4"/>
      <c r="D32" s="4"/>
      <c r="E32" s="4"/>
      <c r="F32" s="4"/>
      <c r="G32" s="4"/>
      <c r="H32" s="4"/>
    </row>
    <row r="33" spans="2:8" ht="19.5" customHeight="1" x14ac:dyDescent="0.35">
      <c r="B33" s="44" t="s">
        <v>93</v>
      </c>
      <c r="C33" s="44"/>
      <c r="D33" s="44"/>
      <c r="E33" s="44" t="s">
        <v>94</v>
      </c>
      <c r="F33" s="44" t="s">
        <v>95</v>
      </c>
      <c r="G33" s="44" t="s">
        <v>96</v>
      </c>
      <c r="H33" s="44" t="s">
        <v>97</v>
      </c>
    </row>
    <row r="34" spans="2:8" ht="15.75" customHeight="1" x14ac:dyDescent="0.35">
      <c r="B34" s="32" t="s">
        <v>119</v>
      </c>
      <c r="C34" s="32" t="s">
        <v>81</v>
      </c>
      <c r="D34" s="32" t="s">
        <v>82</v>
      </c>
      <c r="E34" s="32" t="s">
        <v>99</v>
      </c>
      <c r="F34" s="32" t="s">
        <v>100</v>
      </c>
      <c r="G34" s="32" t="s">
        <v>101</v>
      </c>
      <c r="H34" s="32" t="s">
        <v>102</v>
      </c>
    </row>
    <row r="35" spans="2:8" ht="36" customHeight="1" x14ac:dyDescent="0.35">
      <c r="B35" s="45">
        <v>700000</v>
      </c>
      <c r="C35" s="46">
        <v>4.4999999999999998E-2</v>
      </c>
      <c r="D35" s="45">
        <v>8</v>
      </c>
      <c r="E35" s="21"/>
      <c r="F35" s="47" t="str">
        <f>IF(E35="","—",IF(ABS(E35-H35)/H35&lt;0.02,"✓ Correct","✗ Try again"))</f>
        <v>—</v>
      </c>
      <c r="G35" s="48" t="s">
        <v>120</v>
      </c>
      <c r="H35" s="23">
        <f>B35/(1+C35)^D35</f>
        <v>492229.58887820051</v>
      </c>
    </row>
    <row r="36" spans="2:8" ht="36" customHeight="1" x14ac:dyDescent="0.35">
      <c r="B36" s="3" t="s">
        <v>121</v>
      </c>
      <c r="C36" s="3"/>
      <c r="D36" s="3"/>
      <c r="E36" s="3"/>
      <c r="F36" s="3"/>
      <c r="G36" s="3"/>
      <c r="H36" s="3"/>
    </row>
    <row r="38" spans="2:8" ht="25.5" customHeight="1" x14ac:dyDescent="0.35">
      <c r="B38" s="6" t="s">
        <v>122</v>
      </c>
      <c r="C38" s="6"/>
      <c r="D38" s="6"/>
      <c r="E38" s="6"/>
      <c r="F38" s="6"/>
      <c r="G38" s="6"/>
      <c r="H38" s="6"/>
    </row>
    <row r="39" spans="2:8" ht="31.5" customHeight="1" x14ac:dyDescent="0.35">
      <c r="B39" s="5" t="s">
        <v>123</v>
      </c>
      <c r="C39" s="5"/>
      <c r="D39" s="5"/>
      <c r="E39" s="5"/>
      <c r="F39" s="5"/>
      <c r="G39" s="5"/>
      <c r="H39" s="5"/>
    </row>
    <row r="40" spans="2:8" ht="21.75" customHeight="1" x14ac:dyDescent="0.35">
      <c r="B40" s="4" t="s">
        <v>124</v>
      </c>
      <c r="C40" s="4"/>
      <c r="D40" s="4"/>
      <c r="E40" s="4"/>
      <c r="F40" s="4"/>
      <c r="G40" s="4"/>
      <c r="H40" s="4"/>
    </row>
    <row r="41" spans="2:8" ht="19.5" customHeight="1" x14ac:dyDescent="0.35">
      <c r="B41" s="44" t="s">
        <v>93</v>
      </c>
      <c r="C41" s="44"/>
      <c r="D41" s="44"/>
      <c r="E41" s="44" t="s">
        <v>94</v>
      </c>
      <c r="F41" s="44" t="s">
        <v>95</v>
      </c>
      <c r="G41" s="44" t="s">
        <v>96</v>
      </c>
      <c r="H41" s="44" t="s">
        <v>97</v>
      </c>
    </row>
    <row r="42" spans="2:8" ht="15.75" customHeight="1" x14ac:dyDescent="0.35">
      <c r="B42" s="32" t="s">
        <v>125</v>
      </c>
      <c r="C42" s="32" t="s">
        <v>81</v>
      </c>
      <c r="D42" s="32" t="s">
        <v>82</v>
      </c>
      <c r="E42" s="32" t="s">
        <v>99</v>
      </c>
      <c r="F42" s="32" t="s">
        <v>100</v>
      </c>
      <c r="G42" s="32" t="s">
        <v>101</v>
      </c>
      <c r="H42" s="32" t="s">
        <v>102</v>
      </c>
    </row>
    <row r="43" spans="2:8" ht="36" customHeight="1" x14ac:dyDescent="0.35">
      <c r="B43" s="45">
        <v>15000</v>
      </c>
      <c r="C43" s="46">
        <v>3.5000000000000003E-2</v>
      </c>
      <c r="D43" s="45">
        <v>20</v>
      </c>
      <c r="E43" s="21"/>
      <c r="F43" s="47" t="str">
        <f>IF(E43="","—",IF(ABS(E43-H43)/H43&lt;0.02,"✓ Correct","✗ Try again"))</f>
        <v>—</v>
      </c>
      <c r="G43" s="48" t="s">
        <v>126</v>
      </c>
      <c r="H43" s="23">
        <f>-PV(C43,D43,B43,0)</f>
        <v>213186.04952928398</v>
      </c>
    </row>
    <row r="44" spans="2:8" ht="36" customHeight="1" x14ac:dyDescent="0.35">
      <c r="B44" s="3" t="s">
        <v>127</v>
      </c>
      <c r="C44" s="3"/>
      <c r="D44" s="3"/>
      <c r="E44" s="3"/>
      <c r="F44" s="3"/>
      <c r="G44" s="3"/>
      <c r="H44" s="3"/>
    </row>
    <row r="46" spans="2:8" ht="25.5" customHeight="1" x14ac:dyDescent="0.35">
      <c r="B46" s="6" t="s">
        <v>128</v>
      </c>
      <c r="C46" s="6"/>
      <c r="D46" s="6"/>
      <c r="E46" s="6"/>
      <c r="F46" s="6"/>
      <c r="G46" s="6"/>
      <c r="H46" s="6"/>
    </row>
    <row r="47" spans="2:8" ht="31.5" customHeight="1" x14ac:dyDescent="0.35">
      <c r="B47" s="5" t="s">
        <v>129</v>
      </c>
      <c r="C47" s="5"/>
      <c r="D47" s="5"/>
      <c r="E47" s="5"/>
      <c r="F47" s="5"/>
      <c r="G47" s="5"/>
      <c r="H47" s="5"/>
    </row>
    <row r="48" spans="2:8" ht="21.75" customHeight="1" x14ac:dyDescent="0.35">
      <c r="B48" s="4" t="s">
        <v>130</v>
      </c>
      <c r="C48" s="4"/>
      <c r="D48" s="4"/>
      <c r="E48" s="4"/>
      <c r="F48" s="4"/>
      <c r="G48" s="4"/>
      <c r="H48" s="4"/>
    </row>
    <row r="49" spans="2:8" ht="19.5" customHeight="1" x14ac:dyDescent="0.35">
      <c r="B49" s="44" t="s">
        <v>93</v>
      </c>
      <c r="C49" s="44"/>
      <c r="D49" s="44"/>
      <c r="E49" s="44" t="s">
        <v>94</v>
      </c>
      <c r="F49" s="44" t="s">
        <v>95</v>
      </c>
      <c r="G49" s="44" t="s">
        <v>96</v>
      </c>
      <c r="H49" s="44" t="s">
        <v>97</v>
      </c>
    </row>
    <row r="50" spans="2:8" ht="15.75" customHeight="1" x14ac:dyDescent="0.35">
      <c r="B50" s="32" t="s">
        <v>131</v>
      </c>
      <c r="C50" s="32" t="s">
        <v>132</v>
      </c>
      <c r="D50" s="32" t="s">
        <v>133</v>
      </c>
      <c r="E50" s="32" t="s">
        <v>99</v>
      </c>
      <c r="F50" s="32" t="s">
        <v>100</v>
      </c>
      <c r="G50" s="32" t="s">
        <v>101</v>
      </c>
      <c r="H50" s="32" t="s">
        <v>102</v>
      </c>
    </row>
    <row r="51" spans="2:8" ht="36" customHeight="1" x14ac:dyDescent="0.35">
      <c r="B51" s="45">
        <v>100000</v>
      </c>
      <c r="C51" s="46">
        <v>0.04</v>
      </c>
      <c r="D51" s="45">
        <v>12</v>
      </c>
      <c r="E51" s="21"/>
      <c r="F51" s="47" t="str">
        <f>IF(E51="","—",IF(ABS(E51-H51)/H51&lt;0.02,"✓ Correct","✗ Try again"))</f>
        <v>—</v>
      </c>
      <c r="G51" s="48" t="s">
        <v>134</v>
      </c>
      <c r="H51" s="23">
        <f>B51*(1+C51)^D51</f>
        <v>160103.22185676818</v>
      </c>
    </row>
    <row r="52" spans="2:8" ht="36" customHeight="1" x14ac:dyDescent="0.35">
      <c r="B52" s="3" t="s">
        <v>135</v>
      </c>
      <c r="C52" s="3"/>
      <c r="D52" s="3"/>
      <c r="E52" s="3"/>
      <c r="F52" s="3"/>
      <c r="G52" s="3"/>
      <c r="H52" s="3"/>
    </row>
  </sheetData>
  <mergeCells count="26">
    <mergeCell ref="B52:H52"/>
    <mergeCell ref="B40:H40"/>
    <mergeCell ref="B44:H44"/>
    <mergeCell ref="B46:H46"/>
    <mergeCell ref="B47:H47"/>
    <mergeCell ref="B48:H48"/>
    <mergeCell ref="B31:H31"/>
    <mergeCell ref="B32:H32"/>
    <mergeCell ref="B36:H36"/>
    <mergeCell ref="B38:H38"/>
    <mergeCell ref="B39:H39"/>
    <mergeCell ref="B22:H22"/>
    <mergeCell ref="B23:H23"/>
    <mergeCell ref="B24:H24"/>
    <mergeCell ref="B28:H28"/>
    <mergeCell ref="B30:H30"/>
    <mergeCell ref="B12:H12"/>
    <mergeCell ref="B14:H14"/>
    <mergeCell ref="B15:H15"/>
    <mergeCell ref="B16:H16"/>
    <mergeCell ref="B20:H20"/>
    <mergeCell ref="B2:H2"/>
    <mergeCell ref="B4:H4"/>
    <mergeCell ref="B6:H6"/>
    <mergeCell ref="B7:H7"/>
    <mergeCell ref="B8:H8"/>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76"/>
  <sheetViews>
    <sheetView showGridLines="0" zoomScaleNormal="100" workbookViewId="0"/>
  </sheetViews>
  <sheetFormatPr defaultColWidth="8.6328125" defaultRowHeight="14.5" x14ac:dyDescent="0.35"/>
  <cols>
    <col min="1" max="1" width="3" customWidth="1"/>
    <col min="2" max="2" width="16" customWidth="1"/>
    <col min="3" max="4" width="18" customWidth="1"/>
    <col min="5" max="5" width="14" customWidth="1"/>
    <col min="6" max="6" width="22" customWidth="1"/>
  </cols>
  <sheetData>
    <row r="1" spans="2:6" ht="6" customHeight="1" x14ac:dyDescent="0.35"/>
    <row r="2" spans="2:6" ht="31.5" customHeight="1" x14ac:dyDescent="0.35">
      <c r="B2" s="14" t="s">
        <v>136</v>
      </c>
      <c r="C2" s="14"/>
      <c r="D2" s="14"/>
      <c r="E2" s="14"/>
      <c r="F2" s="14"/>
    </row>
    <row r="3" spans="2:6" ht="6" customHeight="1" x14ac:dyDescent="0.35"/>
    <row r="4" spans="2:6" ht="18" customHeight="1" x14ac:dyDescent="0.35">
      <c r="B4" s="8" t="s">
        <v>137</v>
      </c>
      <c r="C4" s="8"/>
      <c r="D4" s="8"/>
      <c r="E4" s="8"/>
      <c r="F4" s="8"/>
    </row>
    <row r="5" spans="2:6" ht="13.5" customHeight="1" x14ac:dyDescent="0.35"/>
    <row r="6" spans="2:6" ht="25.5" customHeight="1" x14ac:dyDescent="0.35">
      <c r="B6" s="6" t="s">
        <v>138</v>
      </c>
      <c r="C6" s="6"/>
      <c r="D6" s="6"/>
      <c r="E6" s="6"/>
      <c r="F6" s="6"/>
    </row>
    <row r="7" spans="2:6" ht="24" customHeight="1" x14ac:dyDescent="0.35">
      <c r="B7" s="2" t="s">
        <v>139</v>
      </c>
      <c r="C7" s="2"/>
      <c r="D7" s="2"/>
      <c r="E7" s="2"/>
      <c r="F7" s="2"/>
    </row>
    <row r="8" spans="2:6" x14ac:dyDescent="0.35">
      <c r="B8" s="49" t="s">
        <v>140</v>
      </c>
      <c r="C8" s="1" t="s">
        <v>141</v>
      </c>
      <c r="D8" s="1"/>
      <c r="E8" s="1"/>
      <c r="F8" s="1"/>
    </row>
    <row r="9" spans="2:6" ht="18" customHeight="1" x14ac:dyDescent="0.35">
      <c r="B9" s="50" t="s">
        <v>44</v>
      </c>
      <c r="C9" s="55" t="s">
        <v>142</v>
      </c>
      <c r="D9" s="55"/>
      <c r="E9" s="55"/>
      <c r="F9" s="55"/>
    </row>
    <row r="10" spans="2:6" ht="18" customHeight="1" x14ac:dyDescent="0.35">
      <c r="B10" s="50" t="s">
        <v>46</v>
      </c>
      <c r="C10" s="55" t="s">
        <v>143</v>
      </c>
      <c r="D10" s="55"/>
      <c r="E10" s="55"/>
      <c r="F10" s="55"/>
    </row>
    <row r="11" spans="2:6" ht="18" customHeight="1" x14ac:dyDescent="0.35">
      <c r="B11" s="50" t="s">
        <v>48</v>
      </c>
      <c r="C11" s="55" t="s">
        <v>144</v>
      </c>
      <c r="D11" s="55"/>
      <c r="E11" s="55"/>
      <c r="F11" s="55"/>
    </row>
    <row r="12" spans="2:6" ht="18" customHeight="1" x14ac:dyDescent="0.35">
      <c r="B12" s="50" t="s">
        <v>50</v>
      </c>
      <c r="C12" s="55" t="s">
        <v>145</v>
      </c>
      <c r="D12" s="55"/>
      <c r="E12" s="55"/>
      <c r="F12" s="55"/>
    </row>
    <row r="13" spans="2:6" ht="18" customHeight="1" x14ac:dyDescent="0.35">
      <c r="B13" s="50" t="s">
        <v>146</v>
      </c>
      <c r="C13" s="55" t="s">
        <v>147</v>
      </c>
      <c r="D13" s="55"/>
      <c r="E13" s="55"/>
      <c r="F13" s="55"/>
    </row>
    <row r="15" spans="2:6" x14ac:dyDescent="0.35">
      <c r="B15" s="51" t="s">
        <v>148</v>
      </c>
    </row>
    <row r="16" spans="2:6" x14ac:dyDescent="0.35">
      <c r="B16" s="56" t="s">
        <v>149</v>
      </c>
      <c r="C16" s="56"/>
      <c r="D16" s="56"/>
      <c r="E16" s="56"/>
      <c r="F16" s="56"/>
    </row>
    <row r="17" spans="2:6" ht="21.75" customHeight="1" x14ac:dyDescent="0.35">
      <c r="B17" s="52" t="s">
        <v>150</v>
      </c>
      <c r="C17" s="57" t="s">
        <v>151</v>
      </c>
      <c r="D17" s="57"/>
      <c r="E17" s="57"/>
      <c r="F17" s="23">
        <f>FV(0.065/12, 20*12, 0, -5000)</f>
        <v>18282.233509455073</v>
      </c>
    </row>
    <row r="19" spans="2:6" ht="25.5" customHeight="1" x14ac:dyDescent="0.35">
      <c r="B19" s="6" t="s">
        <v>152</v>
      </c>
      <c r="C19" s="6"/>
      <c r="D19" s="6"/>
      <c r="E19" s="6"/>
      <c r="F19" s="6"/>
    </row>
    <row r="20" spans="2:6" ht="24" customHeight="1" x14ac:dyDescent="0.35">
      <c r="B20" s="2" t="s">
        <v>153</v>
      </c>
      <c r="C20" s="2"/>
      <c r="D20" s="2"/>
      <c r="E20" s="2"/>
      <c r="F20" s="2"/>
    </row>
    <row r="21" spans="2:6" x14ac:dyDescent="0.35">
      <c r="B21" s="49" t="s">
        <v>140</v>
      </c>
      <c r="C21" s="1" t="s">
        <v>141</v>
      </c>
      <c r="D21" s="1"/>
      <c r="E21" s="1"/>
      <c r="F21" s="1"/>
    </row>
    <row r="22" spans="2:6" ht="18" customHeight="1" x14ac:dyDescent="0.35">
      <c r="B22" s="50" t="s">
        <v>44</v>
      </c>
      <c r="C22" s="55" t="s">
        <v>72</v>
      </c>
      <c r="D22" s="55"/>
      <c r="E22" s="55"/>
      <c r="F22" s="55"/>
    </row>
    <row r="23" spans="2:6" ht="18" customHeight="1" x14ac:dyDescent="0.35">
      <c r="B23" s="50" t="s">
        <v>46</v>
      </c>
      <c r="C23" s="55" t="s">
        <v>154</v>
      </c>
      <c r="D23" s="55"/>
      <c r="E23" s="55"/>
      <c r="F23" s="55"/>
    </row>
    <row r="24" spans="2:6" ht="18" customHeight="1" x14ac:dyDescent="0.35">
      <c r="B24" s="50" t="s">
        <v>48</v>
      </c>
      <c r="C24" s="55" t="s">
        <v>155</v>
      </c>
      <c r="D24" s="55"/>
      <c r="E24" s="55"/>
      <c r="F24" s="55"/>
    </row>
    <row r="25" spans="2:6" ht="18" customHeight="1" x14ac:dyDescent="0.35">
      <c r="B25" s="50" t="s">
        <v>75</v>
      </c>
      <c r="C25" s="55" t="s">
        <v>156</v>
      </c>
      <c r="D25" s="55"/>
      <c r="E25" s="55"/>
      <c r="F25" s="55"/>
    </row>
    <row r="26" spans="2:6" ht="18" customHeight="1" x14ac:dyDescent="0.35">
      <c r="B26" s="50" t="s">
        <v>146</v>
      </c>
      <c r="C26" s="55" t="s">
        <v>147</v>
      </c>
      <c r="D26" s="55"/>
      <c r="E26" s="55"/>
      <c r="F26" s="55"/>
    </row>
    <row r="28" spans="2:6" x14ac:dyDescent="0.35">
      <c r="B28" s="51" t="s">
        <v>148</v>
      </c>
    </row>
    <row r="29" spans="2:6" x14ac:dyDescent="0.35">
      <c r="B29" s="56" t="s">
        <v>157</v>
      </c>
      <c r="C29" s="56"/>
      <c r="D29" s="56"/>
      <c r="E29" s="56"/>
      <c r="F29" s="56"/>
    </row>
    <row r="30" spans="2:6" ht="21.75" customHeight="1" x14ac:dyDescent="0.35">
      <c r="B30" s="52" t="s">
        <v>150</v>
      </c>
      <c r="C30" s="57" t="s">
        <v>158</v>
      </c>
      <c r="D30" s="57"/>
      <c r="E30" s="57"/>
      <c r="F30" s="23">
        <f>-PV(0.06, 15, 0, 100000)</f>
        <v>41726.506073554032</v>
      </c>
    </row>
    <row r="32" spans="2:6" ht="25.5" customHeight="1" x14ac:dyDescent="0.35">
      <c r="B32" s="6" t="s">
        <v>159</v>
      </c>
      <c r="C32" s="6"/>
      <c r="D32" s="6"/>
      <c r="E32" s="6"/>
      <c r="F32" s="6"/>
    </row>
    <row r="33" spans="2:6" ht="24" customHeight="1" x14ac:dyDescent="0.35">
      <c r="B33" s="2" t="s">
        <v>160</v>
      </c>
      <c r="C33" s="2"/>
      <c r="D33" s="2"/>
      <c r="E33" s="2"/>
      <c r="F33" s="2"/>
    </row>
    <row r="34" spans="2:6" x14ac:dyDescent="0.35">
      <c r="B34" s="49" t="s">
        <v>140</v>
      </c>
      <c r="C34" s="1" t="s">
        <v>141</v>
      </c>
      <c r="D34" s="1"/>
      <c r="E34" s="1"/>
      <c r="F34" s="1"/>
    </row>
    <row r="35" spans="2:6" ht="18" customHeight="1" x14ac:dyDescent="0.35">
      <c r="B35" s="50" t="s">
        <v>44</v>
      </c>
      <c r="C35" s="55" t="s">
        <v>161</v>
      </c>
      <c r="D35" s="55"/>
      <c r="E35" s="55"/>
      <c r="F35" s="55"/>
    </row>
    <row r="36" spans="2:6" ht="18" customHeight="1" x14ac:dyDescent="0.35">
      <c r="B36" s="50" t="s">
        <v>48</v>
      </c>
      <c r="C36" s="55" t="s">
        <v>162</v>
      </c>
      <c r="D36" s="55"/>
      <c r="E36" s="55"/>
      <c r="F36" s="55"/>
    </row>
    <row r="37" spans="2:6" ht="18" customHeight="1" x14ac:dyDescent="0.35">
      <c r="B37" s="50" t="s">
        <v>50</v>
      </c>
      <c r="C37" s="55" t="s">
        <v>163</v>
      </c>
      <c r="D37" s="55"/>
      <c r="E37" s="55"/>
      <c r="F37" s="55"/>
    </row>
    <row r="38" spans="2:6" ht="18" customHeight="1" x14ac:dyDescent="0.35">
      <c r="B38" s="50" t="s">
        <v>75</v>
      </c>
      <c r="C38" s="55" t="s">
        <v>164</v>
      </c>
      <c r="D38" s="55"/>
      <c r="E38" s="55"/>
      <c r="F38" s="55"/>
    </row>
    <row r="39" spans="2:6" ht="18" customHeight="1" x14ac:dyDescent="0.35">
      <c r="B39" s="50" t="s">
        <v>146</v>
      </c>
      <c r="C39" s="55" t="s">
        <v>165</v>
      </c>
      <c r="D39" s="55"/>
      <c r="E39" s="55"/>
      <c r="F39" s="55"/>
    </row>
    <row r="41" spans="2:6" x14ac:dyDescent="0.35">
      <c r="B41" s="51" t="s">
        <v>148</v>
      </c>
    </row>
    <row r="42" spans="2:6" x14ac:dyDescent="0.35">
      <c r="B42" s="56" t="s">
        <v>166</v>
      </c>
      <c r="C42" s="56"/>
      <c r="D42" s="56"/>
      <c r="E42" s="56"/>
      <c r="F42" s="56"/>
    </row>
    <row r="43" spans="2:6" ht="21.75" customHeight="1" x14ac:dyDescent="0.35">
      <c r="B43" s="52" t="s">
        <v>150</v>
      </c>
      <c r="C43" s="57" t="s">
        <v>167</v>
      </c>
      <c r="D43" s="57"/>
      <c r="E43" s="57"/>
      <c r="F43" s="53">
        <f>NPER(0.07, 0, -1000, 2000)</f>
        <v>10.244768351058712</v>
      </c>
    </row>
    <row r="45" spans="2:6" ht="25.5" customHeight="1" x14ac:dyDescent="0.35">
      <c r="B45" s="6" t="s">
        <v>168</v>
      </c>
      <c r="C45" s="6"/>
      <c r="D45" s="6"/>
      <c r="E45" s="6"/>
      <c r="F45" s="6"/>
    </row>
    <row r="46" spans="2:6" ht="24" customHeight="1" x14ac:dyDescent="0.35">
      <c r="B46" s="2" t="s">
        <v>169</v>
      </c>
      <c r="C46" s="2"/>
      <c r="D46" s="2"/>
      <c r="E46" s="2"/>
      <c r="F46" s="2"/>
    </row>
    <row r="47" spans="2:6" x14ac:dyDescent="0.35">
      <c r="B47" s="49" t="s">
        <v>140</v>
      </c>
      <c r="C47" s="1" t="s">
        <v>141</v>
      </c>
      <c r="D47" s="1"/>
      <c r="E47" s="1"/>
      <c r="F47" s="1"/>
    </row>
    <row r="48" spans="2:6" ht="18" customHeight="1" x14ac:dyDescent="0.35">
      <c r="B48" s="50" t="s">
        <v>46</v>
      </c>
      <c r="C48" s="55" t="s">
        <v>170</v>
      </c>
      <c r="D48" s="55"/>
      <c r="E48" s="55"/>
      <c r="F48" s="55"/>
    </row>
    <row r="49" spans="2:6" ht="18" customHeight="1" x14ac:dyDescent="0.35">
      <c r="B49" s="50" t="s">
        <v>48</v>
      </c>
      <c r="C49" s="55" t="s">
        <v>171</v>
      </c>
      <c r="D49" s="55"/>
      <c r="E49" s="55"/>
      <c r="F49" s="55"/>
    </row>
    <row r="50" spans="2:6" ht="18" customHeight="1" x14ac:dyDescent="0.35">
      <c r="B50" s="50" t="s">
        <v>50</v>
      </c>
      <c r="C50" s="55" t="s">
        <v>172</v>
      </c>
      <c r="D50" s="55"/>
      <c r="E50" s="55"/>
      <c r="F50" s="55"/>
    </row>
    <row r="51" spans="2:6" ht="18" customHeight="1" x14ac:dyDescent="0.35">
      <c r="B51" s="50" t="s">
        <v>75</v>
      </c>
      <c r="C51" s="55" t="s">
        <v>173</v>
      </c>
      <c r="D51" s="55"/>
      <c r="E51" s="55"/>
      <c r="F51" s="55"/>
    </row>
    <row r="52" spans="2:6" ht="18" customHeight="1" x14ac:dyDescent="0.35">
      <c r="B52" s="50" t="s">
        <v>174</v>
      </c>
      <c r="C52" s="55" t="s">
        <v>175</v>
      </c>
      <c r="D52" s="55"/>
      <c r="E52" s="55"/>
      <c r="F52" s="55"/>
    </row>
    <row r="54" spans="2:6" x14ac:dyDescent="0.35">
      <c r="B54" s="51" t="s">
        <v>148</v>
      </c>
    </row>
    <row r="55" spans="2:6" x14ac:dyDescent="0.35">
      <c r="B55" s="56" t="s">
        <v>176</v>
      </c>
      <c r="C55" s="56"/>
      <c r="D55" s="56"/>
      <c r="E55" s="56"/>
      <c r="F55" s="56"/>
    </row>
    <row r="56" spans="2:6" ht="21.75" customHeight="1" x14ac:dyDescent="0.35">
      <c r="B56" s="52" t="s">
        <v>150</v>
      </c>
      <c r="C56" s="57" t="s">
        <v>177</v>
      </c>
      <c r="D56" s="57"/>
      <c r="E56" s="57"/>
      <c r="F56" s="54">
        <f>RATE(20, 0, -5000, 20000)</f>
        <v>7.1773462536298155E-2</v>
      </c>
    </row>
    <row r="58" spans="2:6" ht="25.5" customHeight="1" x14ac:dyDescent="0.35">
      <c r="B58" s="6" t="s">
        <v>178</v>
      </c>
      <c r="C58" s="6"/>
      <c r="D58" s="6"/>
      <c r="E58" s="6"/>
      <c r="F58" s="6"/>
    </row>
    <row r="59" spans="2:6" ht="24" customHeight="1" x14ac:dyDescent="0.35">
      <c r="B59" s="2" t="s">
        <v>179</v>
      </c>
      <c r="C59" s="2"/>
      <c r="D59" s="2"/>
      <c r="E59" s="2"/>
      <c r="F59" s="2"/>
    </row>
    <row r="60" spans="2:6" x14ac:dyDescent="0.35">
      <c r="B60" s="49" t="s">
        <v>140</v>
      </c>
      <c r="C60" s="1" t="s">
        <v>141</v>
      </c>
      <c r="D60" s="1"/>
      <c r="E60" s="1"/>
      <c r="F60" s="1"/>
    </row>
    <row r="61" spans="2:6" ht="18" customHeight="1" x14ac:dyDescent="0.35">
      <c r="B61" s="50" t="s">
        <v>44</v>
      </c>
      <c r="C61" s="55" t="s">
        <v>161</v>
      </c>
      <c r="D61" s="55"/>
      <c r="E61" s="55"/>
      <c r="F61" s="55"/>
    </row>
    <row r="62" spans="2:6" ht="18" customHeight="1" x14ac:dyDescent="0.35">
      <c r="B62" s="50" t="s">
        <v>46</v>
      </c>
      <c r="C62" s="55" t="s">
        <v>154</v>
      </c>
      <c r="D62" s="55"/>
      <c r="E62" s="55"/>
      <c r="F62" s="55"/>
    </row>
    <row r="63" spans="2:6" ht="18" customHeight="1" x14ac:dyDescent="0.35">
      <c r="B63" s="50" t="s">
        <v>50</v>
      </c>
      <c r="C63" s="55" t="s">
        <v>180</v>
      </c>
      <c r="D63" s="55"/>
      <c r="E63" s="55"/>
      <c r="F63" s="55"/>
    </row>
    <row r="64" spans="2:6" ht="18" customHeight="1" x14ac:dyDescent="0.35">
      <c r="B64" s="50" t="s">
        <v>75</v>
      </c>
      <c r="C64" s="55" t="s">
        <v>181</v>
      </c>
      <c r="D64" s="55"/>
      <c r="E64" s="55"/>
      <c r="F64" s="55"/>
    </row>
    <row r="65" spans="2:6" ht="18" customHeight="1" x14ac:dyDescent="0.35">
      <c r="B65" s="50" t="s">
        <v>146</v>
      </c>
      <c r="C65" s="55" t="s">
        <v>182</v>
      </c>
      <c r="D65" s="55"/>
      <c r="E65" s="55"/>
      <c r="F65" s="55"/>
    </row>
    <row r="67" spans="2:6" x14ac:dyDescent="0.35">
      <c r="B67" s="51" t="s">
        <v>148</v>
      </c>
    </row>
    <row r="68" spans="2:6" x14ac:dyDescent="0.35">
      <c r="B68" s="56" t="s">
        <v>183</v>
      </c>
      <c r="C68" s="56"/>
      <c r="D68" s="56"/>
      <c r="E68" s="56"/>
      <c r="F68" s="56"/>
    </row>
    <row r="69" spans="2:6" ht="21.75" customHeight="1" x14ac:dyDescent="0.35">
      <c r="B69" s="52" t="s">
        <v>150</v>
      </c>
      <c r="C69" s="57" t="s">
        <v>184</v>
      </c>
      <c r="D69" s="57"/>
      <c r="E69" s="57"/>
      <c r="F69" s="23">
        <f>-PMT(0.06/12, 30*12, 250000)</f>
        <v>1498.8763128818807</v>
      </c>
    </row>
    <row r="72" spans="2:6" ht="21.75" customHeight="1" x14ac:dyDescent="0.35">
      <c r="B72" s="12" t="s">
        <v>185</v>
      </c>
      <c r="C72" s="12"/>
      <c r="D72" s="12"/>
      <c r="E72" s="12"/>
      <c r="F72" s="12"/>
    </row>
    <row r="73" spans="2:6" ht="18" customHeight="1" x14ac:dyDescent="0.35">
      <c r="B73" s="11" t="s">
        <v>186</v>
      </c>
      <c r="C73" s="11"/>
      <c r="D73" s="11"/>
      <c r="E73" s="11"/>
      <c r="F73" s="11"/>
    </row>
    <row r="74" spans="2:6" ht="18" customHeight="1" x14ac:dyDescent="0.35">
      <c r="B74" s="11"/>
      <c r="C74" s="11"/>
      <c r="D74" s="11"/>
      <c r="E74" s="11"/>
      <c r="F74" s="11"/>
    </row>
    <row r="75" spans="2:6" ht="18" customHeight="1" x14ac:dyDescent="0.35">
      <c r="B75" s="11"/>
      <c r="C75" s="11"/>
      <c r="D75" s="11"/>
      <c r="E75" s="11"/>
      <c r="F75" s="11"/>
    </row>
    <row r="76" spans="2:6" ht="18" customHeight="1" x14ac:dyDescent="0.35">
      <c r="B76" s="11"/>
      <c r="C76" s="11"/>
      <c r="D76" s="11"/>
      <c r="E76" s="11"/>
      <c r="F76" s="11"/>
    </row>
  </sheetData>
  <mergeCells count="54">
    <mergeCell ref="B68:F68"/>
    <mergeCell ref="C69:E69"/>
    <mergeCell ref="B72:F72"/>
    <mergeCell ref="B73:F76"/>
    <mergeCell ref="C61:F61"/>
    <mergeCell ref="C62:F62"/>
    <mergeCell ref="C63:F63"/>
    <mergeCell ref="C64:F64"/>
    <mergeCell ref="C65:F65"/>
    <mergeCell ref="B55:F55"/>
    <mergeCell ref="C56:E56"/>
    <mergeCell ref="B58:F58"/>
    <mergeCell ref="B59:F59"/>
    <mergeCell ref="C60:F60"/>
    <mergeCell ref="C48:F48"/>
    <mergeCell ref="C49:F49"/>
    <mergeCell ref="C50:F50"/>
    <mergeCell ref="C51:F51"/>
    <mergeCell ref="C52:F52"/>
    <mergeCell ref="B42:F42"/>
    <mergeCell ref="C43:E43"/>
    <mergeCell ref="B45:F45"/>
    <mergeCell ref="B46:F46"/>
    <mergeCell ref="C47:F47"/>
    <mergeCell ref="C35:F35"/>
    <mergeCell ref="C36:F36"/>
    <mergeCell ref="C37:F37"/>
    <mergeCell ref="C38:F38"/>
    <mergeCell ref="C39:F39"/>
    <mergeCell ref="B29:F29"/>
    <mergeCell ref="C30:E30"/>
    <mergeCell ref="B32:F32"/>
    <mergeCell ref="B33:F33"/>
    <mergeCell ref="C34:F34"/>
    <mergeCell ref="C22:F22"/>
    <mergeCell ref="C23:F23"/>
    <mergeCell ref="C24:F24"/>
    <mergeCell ref="C25:F25"/>
    <mergeCell ref="C26:F26"/>
    <mergeCell ref="B16:F16"/>
    <mergeCell ref="C17:E17"/>
    <mergeCell ref="B19:F19"/>
    <mergeCell ref="B20:F20"/>
    <mergeCell ref="C21:F21"/>
    <mergeCell ref="C9:F9"/>
    <mergeCell ref="C10:F10"/>
    <mergeCell ref="C11:F11"/>
    <mergeCell ref="C12:F12"/>
    <mergeCell ref="C13:F13"/>
    <mergeCell ref="B2:F2"/>
    <mergeCell ref="B4:F4"/>
    <mergeCell ref="B6:F6"/>
    <mergeCell ref="B7:F7"/>
    <mergeCell ref="C8:F8"/>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 Here</vt:lpstr>
      <vt:lpstr>FV Calculator</vt:lpstr>
      <vt:lpstr>PV Calculator</vt:lpstr>
      <vt:lpstr>Year-by-Year</vt:lpstr>
      <vt:lpstr>Practice Problems</vt:lpstr>
      <vt:lpstr>Excel Functions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Hadden, Michael S.</cp:lastModifiedBy>
  <cp:revision>0</cp:revision>
  <dcterms:created xsi:type="dcterms:W3CDTF">2026-05-04T12:09:01Z</dcterms:created>
  <dcterms:modified xsi:type="dcterms:W3CDTF">2026-05-10T20:55:14Z</dcterms:modified>
  <dc:language>en-US</dc:language>
</cp:coreProperties>
</file>